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30" windowWidth="14625" windowHeight="8430" tabRatio="828" activeTab="5"/>
  </bookViews>
  <sheets>
    <sheet name="Intro" sheetId="1" r:id="rId1"/>
    <sheet name="All on one page" sheetId="2" r:id="rId2"/>
    <sheet name="Common Cathode" sheetId="3" r:id="rId3"/>
    <sheet name="Cathode Follower" sheetId="4" r:id="rId4"/>
    <sheet name="Srpp" sheetId="5" r:id="rId5"/>
    <sheet name="Aikido" sheetId="6" r:id="rId6"/>
    <sheet name="Mu Follower" sheetId="7" r:id="rId7"/>
    <sheet name="Data" sheetId="8" r:id="rId8"/>
  </sheets>
  <definedNames>
    <definedName name="jerry_ss_v1_12ax7">"$"</definedName>
    <definedName name="Ruit">#REF!</definedName>
    <definedName name="scratch_remco_green">"$"</definedName>
    <definedName name="tweety_ss_upgrade_12ax7">#REF!</definedName>
    <definedName name="zurlinde_ss_v1_12ax7">"$"</definedName>
  </definedNames>
  <calcPr fullCalcOnLoad="1"/>
</workbook>
</file>

<file path=xl/comments2.xml><?xml version="1.0" encoding="utf-8"?>
<comments xmlns="http://schemas.openxmlformats.org/spreadsheetml/2006/main">
  <authors>
    <author>Maarten</author>
  </authors>
  <commentList>
    <comment ref="C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 as seen by the lower tube</t>
        </r>
      </text>
    </comment>
    <comment ref="D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lower tube. Note that when the resistor is bypassed with a sufficiently large cap than use a value of 0</t>
        </r>
      </text>
    </comment>
    <comment ref="F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Grid resistor (ground reference). Make sure it's range is supported by the datasheet</t>
        </r>
      </text>
    </comment>
    <comment ref="I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Amplification of the particular tube configuration</t>
        </r>
      </text>
    </comment>
    <comment ref="E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upper tube.</t>
        </r>
      </text>
    </comment>
    <comment ref="J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in dB for this tube configuration</t>
        </r>
      </text>
    </comment>
    <comment ref="C6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resistor, for Common Cathode stage this is usually a large value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  <comment ref="G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D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B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Specifiy the name of the tube as found in the "Data" sheet. Name must be unique and in full.</t>
        </r>
      </text>
    </comment>
  </commentList>
</comments>
</file>

<file path=xl/comments3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</commentList>
</comments>
</file>

<file path=xl/comments4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</commentList>
</comments>
</file>

<file path=xl/comments5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  <comment ref="A15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 as seen by the lower tube</t>
        </r>
      </text>
    </comment>
    <comment ref="A13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lower tube. Note that when the resistor is bypassed with a sufficiently large cap than use a value of 0</t>
        </r>
      </text>
    </comment>
    <comment ref="A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upper tube.</t>
        </r>
      </text>
    </comment>
    <comment ref="A12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Grid resistor (ground reference). Make sure it's range is supported by the datasheet</t>
        </r>
      </text>
    </comment>
    <comment ref="A18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Amplification of the particular tube configuration</t>
        </r>
      </text>
    </comment>
    <comment ref="A19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in dB for this tube configuration</t>
        </r>
      </text>
    </comment>
  </commentList>
</comments>
</file>

<file path=xl/comments6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  <comment ref="A15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 as seen by the lower tube</t>
        </r>
      </text>
    </comment>
    <comment ref="A13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lower tube. Note that when the resistor is bypassed with a sufficiently large cap than use a value of 0</t>
        </r>
      </text>
    </comment>
    <comment ref="A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upper tube.</t>
        </r>
      </text>
    </comment>
    <comment ref="A12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Grid resistor (ground reference). Make sure it's range is supported by the datasheet</t>
        </r>
      </text>
    </comment>
    <comment ref="A18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Amplification of the particular tube configuration</t>
        </r>
      </text>
    </comment>
    <comment ref="A19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in dB for this tube configuration</t>
        </r>
      </text>
    </comment>
  </commentList>
</comments>
</file>

<file path=xl/comments7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</commentList>
</comments>
</file>

<file path=xl/sharedStrings.xml><?xml version="1.0" encoding="utf-8"?>
<sst xmlns="http://schemas.openxmlformats.org/spreadsheetml/2006/main" count="312" uniqueCount="115">
  <si>
    <t>Va</t>
  </si>
  <si>
    <t>Vg1</t>
  </si>
  <si>
    <t>Ia</t>
  </si>
  <si>
    <t>Ri</t>
  </si>
  <si>
    <t>S</t>
  </si>
  <si>
    <t>u</t>
  </si>
  <si>
    <t>Cga</t>
  </si>
  <si>
    <t>GKS</t>
  </si>
  <si>
    <t>Rk1</t>
  </si>
  <si>
    <t>--</t>
  </si>
  <si>
    <t>V</t>
  </si>
  <si>
    <t>Rg</t>
  </si>
  <si>
    <t>Cmiller</t>
  </si>
  <si>
    <t>GAS</t>
  </si>
  <si>
    <t>Rk</t>
  </si>
  <si>
    <t>Cathode follower</t>
  </si>
  <si>
    <t>SRPP</t>
  </si>
  <si>
    <t>Rk2</t>
  </si>
  <si>
    <t>Type SRPP a1</t>
  </si>
  <si>
    <t>Type SRPP k2</t>
  </si>
  <si>
    <t>Mu-Follower</t>
  </si>
  <si>
    <t>Rk2+Rp</t>
  </si>
  <si>
    <t>5751</t>
  </si>
  <si>
    <t>12SL7GT</t>
  </si>
  <si>
    <t>12SN7GT</t>
  </si>
  <si>
    <t>B406</t>
  </si>
  <si>
    <t>ECC81</t>
  </si>
  <si>
    <t>ECC83</t>
  </si>
  <si>
    <t>ECC85</t>
  </si>
  <si>
    <t>Rp</t>
  </si>
  <si>
    <t>Rout</t>
  </si>
  <si>
    <t xml:space="preserve">Note: Rk1= 0 when Cathode Rk fully bypassed </t>
  </si>
  <si>
    <t>ECC88</t>
  </si>
  <si>
    <t>6DJ8</t>
  </si>
  <si>
    <t>V(db)</t>
  </si>
  <si>
    <t>Note: Rk1= large, Rp in general not present</t>
  </si>
  <si>
    <t>Frank Philipse</t>
  </si>
  <si>
    <t>1G6gt</t>
  </si>
  <si>
    <t>6SL7</t>
  </si>
  <si>
    <t>1G4gt</t>
  </si>
  <si>
    <t>6922</t>
  </si>
  <si>
    <t>Check</t>
  </si>
  <si>
    <t>Tube</t>
  </si>
  <si>
    <t>Family</t>
  </si>
  <si>
    <t>Remarks</t>
  </si>
  <si>
    <t>12AX7</t>
  </si>
  <si>
    <t>Tube Name:</t>
  </si>
  <si>
    <t>Config</t>
  </si>
  <si>
    <t>6N1P</t>
  </si>
  <si>
    <t xml:space="preserve"> old datasheets</t>
  </si>
  <si>
    <t>6N1P_b</t>
  </si>
  <si>
    <t>6N1P_c</t>
  </si>
  <si>
    <t>Svetlana (tmp)</t>
  </si>
  <si>
    <t>Lookup</t>
  </si>
  <si>
    <t>Common Cathode stage</t>
  </si>
  <si>
    <t>7586</t>
  </si>
  <si>
    <t>---</t>
  </si>
  <si>
    <t>Keep this list sorted on Tube Name</t>
  </si>
  <si>
    <t>ttl Rp</t>
  </si>
  <si>
    <t xml:space="preserve">Rk2 </t>
  </si>
  <si>
    <t>Rp1</t>
  </si>
  <si>
    <t>Rk2+Rp1</t>
  </si>
  <si>
    <t>Index</t>
  </si>
  <si>
    <t xml:space="preserve"> Tube</t>
  </si>
  <si>
    <t>Welcome to my Tubes calculator.</t>
  </si>
  <si>
    <t>This program helps with calculating the output inpedance and gain for the most common</t>
  </si>
  <si>
    <t>(c) Maarten@Platenspeler.com</t>
  </si>
  <si>
    <t>tube configurations: Cathode Follower, Common Cathode, SRPP and Mu-Follower</t>
  </si>
  <si>
    <t>This Excel program is free for personal and non-commercial use.</t>
  </si>
  <si>
    <t>Index Nr</t>
  </si>
  <si>
    <t>Hope you enjoy it like I do (when I forget the most simple formulas again)</t>
  </si>
  <si>
    <t>Follower</t>
  </si>
  <si>
    <t>Cathode</t>
  </si>
  <si>
    <t>Common</t>
  </si>
  <si>
    <t>Mu Follower</t>
  </si>
  <si>
    <t>ECC803</t>
  </si>
  <si>
    <t>Non Microphonic</t>
  </si>
  <si>
    <t>ECC802</t>
  </si>
  <si>
    <t>ECC82</t>
  </si>
  <si>
    <t>12AT7</t>
  </si>
  <si>
    <t>12AU7</t>
  </si>
  <si>
    <t>ECC99</t>
  </si>
  <si>
    <t>Cgk</t>
  </si>
  <si>
    <t>6SN7</t>
  </si>
  <si>
    <t>EL84</t>
  </si>
  <si>
    <t>6BQ5</t>
  </si>
  <si>
    <t>6BQ5 (se)</t>
  </si>
  <si>
    <t>Penthode used as Triode</t>
  </si>
  <si>
    <t>EL84 (se)</t>
  </si>
  <si>
    <t>EL34 (se)</t>
  </si>
  <si>
    <t>6SN7GT</t>
  </si>
  <si>
    <t>6BX7</t>
  </si>
  <si>
    <t>6SL7GT</t>
  </si>
  <si>
    <t>noval</t>
  </si>
  <si>
    <t>octal</t>
  </si>
  <si>
    <t>vh</t>
  </si>
  <si>
    <t>Ih</t>
  </si>
  <si>
    <t>6CG7 (90v)</t>
  </si>
  <si>
    <t>6CG7 (250v)</t>
  </si>
  <si>
    <t>12AV7</t>
  </si>
  <si>
    <t>6.3/12.6</t>
  </si>
  <si>
    <t>0.225/0.45</t>
  </si>
  <si>
    <t>rk</t>
  </si>
  <si>
    <t>5965</t>
  </si>
  <si>
    <t>Cak</t>
  </si>
  <si>
    <t>Headphone driver</t>
  </si>
  <si>
    <t>Headphone 1st stage</t>
  </si>
  <si>
    <t>6H30</t>
  </si>
  <si>
    <t>Russ Military</t>
  </si>
  <si>
    <t>0.15/0.3</t>
  </si>
  <si>
    <t>5755 (250v)</t>
  </si>
  <si>
    <t>5755 (typ)</t>
  </si>
  <si>
    <t>6AS7</t>
  </si>
  <si>
    <t>6336A</t>
  </si>
  <si>
    <t>Headphone/OTL</t>
  </si>
</sst>
</file>

<file path=xl/styles.xml><?xml version="1.0" encoding="utf-8"?>
<styleSheet xmlns="http://schemas.openxmlformats.org/spreadsheetml/2006/main">
  <numFmts count="4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0.0000"/>
    <numFmt numFmtId="195" formatCode="0.000"/>
    <numFmt numFmtId="196" formatCode="00000"/>
    <numFmt numFmtId="197" formatCode="0.0"/>
    <numFmt numFmtId="198" formatCode="0.00000"/>
  </numFmts>
  <fonts count="20">
    <font>
      <sz val="10"/>
      <name val="Arial"/>
      <family val="0"/>
    </font>
    <font>
      <b/>
      <sz val="10"/>
      <color indexed="8"/>
      <name val="Albany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b/>
      <sz val="10"/>
      <color indexed="10"/>
      <name val="Albany"/>
      <family val="2"/>
    </font>
    <font>
      <sz val="10"/>
      <color indexed="9"/>
      <name val="Albany"/>
      <family val="2"/>
    </font>
    <font>
      <sz val="10"/>
      <color indexed="10"/>
      <name val="Albany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name val="Albany"/>
      <family val="2"/>
    </font>
    <font>
      <b/>
      <sz val="8"/>
      <color indexed="8"/>
      <name val="Albany"/>
      <family val="2"/>
    </font>
    <font>
      <b/>
      <sz val="8"/>
      <color indexed="10"/>
      <name val="Albany"/>
      <family val="2"/>
    </font>
    <font>
      <sz val="8"/>
      <name val="Albany"/>
      <family val="2"/>
    </font>
    <font>
      <sz val="8"/>
      <color indexed="8"/>
      <name val="Albany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Alignment="1">
      <alignment/>
    </xf>
    <xf numFmtId="0" fontId="1" fillId="2" borderId="0" xfId="0" applyFill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2" fillId="0" borderId="0" xfId="0" applyBorder="1" applyAlignment="1">
      <alignment/>
    </xf>
    <xf numFmtId="0" fontId="2" fillId="0" borderId="0" xfId="0" applyBorder="1" applyAlignment="1">
      <alignment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Border="1" applyAlignment="1">
      <alignment/>
    </xf>
    <xf numFmtId="2" fontId="2" fillId="0" borderId="0" xfId="0" applyNumberFormat="1" applyBorder="1" applyAlignment="1">
      <alignment/>
    </xf>
    <xf numFmtId="0" fontId="1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Border="1" applyAlignment="1">
      <alignment/>
    </xf>
    <xf numFmtId="0" fontId="1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1" fillId="2" borderId="2" xfId="0" applyNumberForma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ill="1" applyBorder="1" applyAlignment="1" applyProtection="1">
      <alignment/>
      <protection locked="0"/>
    </xf>
    <xf numFmtId="0" fontId="2" fillId="2" borderId="0" xfId="0" applyFill="1" applyBorder="1" applyAlignment="1">
      <alignment/>
    </xf>
    <xf numFmtId="11" fontId="6" fillId="2" borderId="0" xfId="0" applyFill="1" applyBorder="1" applyAlignment="1">
      <alignment/>
    </xf>
    <xf numFmtId="2" fontId="4" fillId="2" borderId="0" xfId="0" applyNumberFormat="1" applyFill="1" applyBorder="1" applyAlignment="1">
      <alignment/>
    </xf>
    <xf numFmtId="2" fontId="6" fillId="2" borderId="4" xfId="0" applyNumberFormat="1" applyFill="1" applyBorder="1" applyAlignment="1">
      <alignment/>
    </xf>
    <xf numFmtId="0" fontId="2" fillId="2" borderId="5" xfId="0" applyFill="1" applyBorder="1" applyAlignment="1">
      <alignment/>
    </xf>
    <xf numFmtId="0" fontId="3" fillId="2" borderId="6" xfId="0" applyFill="1" applyBorder="1" applyAlignment="1">
      <alignment/>
    </xf>
    <xf numFmtId="0" fontId="2" fillId="2" borderId="6" xfId="0" applyFill="1" applyBorder="1" applyAlignment="1">
      <alignment/>
    </xf>
    <xf numFmtId="0" fontId="2" fillId="2" borderId="6" xfId="0" applyFont="1" applyFill="1" applyBorder="1" applyAlignment="1">
      <alignment/>
    </xf>
    <xf numFmtId="11" fontId="6" fillId="2" borderId="6" xfId="0" applyFill="1" applyBorder="1" applyAlignment="1">
      <alignment/>
    </xf>
    <xf numFmtId="2" fontId="2" fillId="2" borderId="6" xfId="0" applyNumberFormat="1" applyFill="1" applyBorder="1" applyAlignment="1">
      <alignment/>
    </xf>
    <xf numFmtId="0" fontId="2" fillId="2" borderId="7" xfId="0" applyFill="1" applyBorder="1" applyAlignment="1">
      <alignment/>
    </xf>
    <xf numFmtId="0" fontId="2" fillId="2" borderId="8" xfId="0" applyFill="1" applyBorder="1" applyAlignment="1">
      <alignment/>
    </xf>
    <xf numFmtId="0" fontId="3" fillId="2" borderId="0" xfId="0" applyFill="1" applyBorder="1" applyAlignment="1">
      <alignment/>
    </xf>
    <xf numFmtId="0" fontId="6" fillId="2" borderId="0" xfId="0" applyFill="1" applyBorder="1" applyAlignment="1">
      <alignment/>
    </xf>
    <xf numFmtId="0" fontId="1" fillId="4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ill="1" applyBorder="1" applyAlignment="1">
      <alignment/>
    </xf>
    <xf numFmtId="2" fontId="1" fillId="4" borderId="2" xfId="0" applyNumberFormat="1" applyFont="1" applyFill="1" applyBorder="1" applyAlignment="1">
      <alignment/>
    </xf>
    <xf numFmtId="2" fontId="1" fillId="4" borderId="2" xfId="0" applyNumberFormat="1" applyFill="1" applyBorder="1" applyAlignment="1">
      <alignment/>
    </xf>
    <xf numFmtId="0" fontId="7" fillId="4" borderId="3" xfId="0" applyFont="1" applyFill="1" applyBorder="1" applyAlignment="1">
      <alignment/>
    </xf>
    <xf numFmtId="0" fontId="2" fillId="4" borderId="8" xfId="0" applyFill="1" applyBorder="1" applyAlignment="1">
      <alignment/>
    </xf>
    <xf numFmtId="0" fontId="3" fillId="4" borderId="0" xfId="0" applyFill="1" applyBorder="1" applyAlignment="1">
      <alignment/>
    </xf>
    <xf numFmtId="0" fontId="6" fillId="4" borderId="0" xfId="0" applyFill="1" applyBorder="1" applyAlignment="1">
      <alignment/>
    </xf>
    <xf numFmtId="0" fontId="5" fillId="4" borderId="0" xfId="0" applyFill="1" applyBorder="1" applyAlignment="1" applyProtection="1">
      <alignment/>
      <protection locked="0"/>
    </xf>
    <xf numFmtId="11" fontId="6" fillId="4" borderId="0" xfId="0" applyFill="1" applyBorder="1" applyAlignment="1">
      <alignment/>
    </xf>
    <xf numFmtId="2" fontId="4" fillId="4" borderId="0" xfId="0" applyNumberFormat="1" applyFill="1" applyBorder="1" applyAlignment="1">
      <alignment/>
    </xf>
    <xf numFmtId="2" fontId="6" fillId="4" borderId="4" xfId="0" applyNumberFormat="1" applyFill="1" applyBorder="1" applyAlignment="1">
      <alignment/>
    </xf>
    <xf numFmtId="0" fontId="2" fillId="4" borderId="5" xfId="0" applyFill="1" applyBorder="1" applyAlignment="1">
      <alignment/>
    </xf>
    <xf numFmtId="0" fontId="3" fillId="4" borderId="6" xfId="0" applyFill="1" applyBorder="1" applyAlignment="1">
      <alignment/>
    </xf>
    <xf numFmtId="0" fontId="2" fillId="4" borderId="6" xfId="0" applyFill="1" applyBorder="1" applyAlignment="1">
      <alignment/>
    </xf>
    <xf numFmtId="0" fontId="2" fillId="4" borderId="6" xfId="0" applyFont="1" applyFill="1" applyBorder="1" applyAlignment="1">
      <alignment/>
    </xf>
    <xf numFmtId="2" fontId="2" fillId="4" borderId="6" xfId="0" applyNumberFormat="1" applyFill="1" applyBorder="1" applyAlignment="1">
      <alignment/>
    </xf>
    <xf numFmtId="0" fontId="2" fillId="4" borderId="7" xfId="0" applyFill="1" applyBorder="1" applyAlignment="1">
      <alignment/>
    </xf>
    <xf numFmtId="0" fontId="5" fillId="4" borderId="0" xfId="0" applyFill="1" applyBorder="1" applyAlignment="1">
      <alignment/>
    </xf>
    <xf numFmtId="0" fontId="2" fillId="4" borderId="0" xfId="0" applyFill="1" applyBorder="1" applyAlignment="1">
      <alignment/>
    </xf>
    <xf numFmtId="11" fontId="6" fillId="4" borderId="6" xfId="0" applyFill="1" applyBorder="1" applyAlignment="1">
      <alignment/>
    </xf>
    <xf numFmtId="0" fontId="8" fillId="3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4" borderId="2" xfId="0" applyFont="1" applyFill="1" applyBorder="1" applyAlignment="1" quotePrefix="1">
      <alignment/>
    </xf>
    <xf numFmtId="49" fontId="13" fillId="3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/>
    </xf>
    <xf numFmtId="0" fontId="1" fillId="2" borderId="0" xfId="0" applyFill="1" applyBorder="1" applyAlignment="1">
      <alignment/>
    </xf>
    <xf numFmtId="0" fontId="1" fillId="2" borderId="9" xfId="0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1" xfId="0" applyFill="1" applyBorder="1" applyAlignment="1">
      <alignment/>
    </xf>
    <xf numFmtId="0" fontId="3" fillId="2" borderId="12" xfId="0" applyFill="1" applyBorder="1" applyAlignment="1">
      <alignment/>
    </xf>
    <xf numFmtId="0" fontId="1" fillId="2" borderId="11" xfId="0" applyFill="1" applyBorder="1" applyAlignment="1">
      <alignment/>
    </xf>
    <xf numFmtId="0" fontId="5" fillId="2" borderId="12" xfId="0" applyFill="1" applyBorder="1" applyAlignment="1" applyProtection="1">
      <alignment/>
      <protection locked="0"/>
    </xf>
    <xf numFmtId="0" fontId="1" fillId="2" borderId="11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2" fontId="4" fillId="2" borderId="12" xfId="0" applyNumberFormat="1" applyFill="1" applyBorder="1" applyAlignment="1">
      <alignment/>
    </xf>
    <xf numFmtId="2" fontId="1" fillId="2" borderId="11" xfId="0" applyNumberFormat="1" applyFill="1" applyBorder="1" applyAlignment="1">
      <alignment/>
    </xf>
    <xf numFmtId="0" fontId="7" fillId="2" borderId="11" xfId="0" applyFont="1" applyFill="1" applyBorder="1" applyAlignment="1">
      <alignment/>
    </xf>
    <xf numFmtId="2" fontId="6" fillId="2" borderId="12" xfId="0" applyNumberFormat="1" applyFill="1" applyBorder="1" applyAlignment="1">
      <alignment/>
    </xf>
    <xf numFmtId="0" fontId="1" fillId="2" borderId="13" xfId="0" applyFill="1" applyBorder="1" applyAlignment="1">
      <alignment/>
    </xf>
    <xf numFmtId="11" fontId="6" fillId="2" borderId="14" xfId="0" applyFill="1" applyBorder="1" applyAlignment="1">
      <alignment/>
    </xf>
    <xf numFmtId="0" fontId="2" fillId="2" borderId="15" xfId="0" applyFill="1" applyBorder="1" applyAlignment="1">
      <alignment/>
    </xf>
    <xf numFmtId="0" fontId="1" fillId="2" borderId="15" xfId="0" applyFill="1" applyBorder="1" applyAlignment="1">
      <alignment/>
    </xf>
    <xf numFmtId="0" fontId="1" fillId="2" borderId="15" xfId="0" applyFon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2" fontId="1" fillId="2" borderId="15" xfId="0" applyNumberFormat="1" applyFill="1" applyBorder="1" applyAlignment="1">
      <alignment/>
    </xf>
    <xf numFmtId="0" fontId="7" fillId="2" borderId="15" xfId="0" applyFont="1" applyFill="1" applyBorder="1" applyAlignment="1">
      <alignment/>
    </xf>
    <xf numFmtId="0" fontId="1" fillId="2" borderId="1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2" xfId="0" applyFill="1" applyBorder="1" applyAlignment="1">
      <alignment/>
    </xf>
    <xf numFmtId="2" fontId="0" fillId="3" borderId="0" xfId="0" applyNumberFormat="1" applyFill="1" applyAlignment="1">
      <alignment/>
    </xf>
    <xf numFmtId="0" fontId="3" fillId="2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2" borderId="17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13" fillId="5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6" borderId="18" xfId="0" applyNumberFormat="1" applyFont="1" applyFill="1" applyBorder="1" applyAlignment="1" applyProtection="1">
      <alignment/>
      <protection locked="0"/>
    </xf>
    <xf numFmtId="17" fontId="0" fillId="0" borderId="0" xfId="0" applyNumberFormat="1" applyAlignment="1">
      <alignment/>
    </xf>
    <xf numFmtId="49" fontId="0" fillId="3" borderId="0" xfId="0" applyNumberFormat="1" applyFill="1" applyAlignment="1" applyProtection="1">
      <alignment/>
      <protection/>
    </xf>
    <xf numFmtId="0" fontId="13" fillId="3" borderId="0" xfId="0" applyNumberFormat="1" applyFont="1" applyFill="1" applyAlignment="1" applyProtection="1">
      <alignment/>
      <protection locked="0"/>
    </xf>
    <xf numFmtId="0" fontId="13" fillId="3" borderId="0" xfId="0" applyNumberFormat="1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0" fontId="1" fillId="2" borderId="16" xfId="0" applyFont="1" applyFill="1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 applyProtection="1">
      <alignment/>
      <protection locked="0"/>
    </xf>
    <xf numFmtId="2" fontId="1" fillId="3" borderId="0" xfId="0" applyNumberFormat="1" applyFont="1" applyFill="1" applyBorder="1" applyAlignment="1">
      <alignment/>
    </xf>
    <xf numFmtId="198" fontId="4" fillId="4" borderId="0" xfId="0" applyNumberFormat="1" applyFill="1" applyBorder="1" applyAlignment="1">
      <alignment/>
    </xf>
    <xf numFmtId="11" fontId="0" fillId="0" borderId="0" xfId="0" applyNumberFormat="1" applyAlignment="1" applyProtection="1">
      <alignment/>
      <protection hidden="1"/>
    </xf>
    <xf numFmtId="0" fontId="3" fillId="2" borderId="17" xfId="0" applyFont="1" applyFill="1" applyBorder="1" applyAlignment="1">
      <alignment/>
    </xf>
    <xf numFmtId="0" fontId="5" fillId="2" borderId="16" xfId="0" applyFill="1" applyBorder="1" applyAlignment="1" applyProtection="1">
      <alignment/>
      <protection locked="0"/>
    </xf>
    <xf numFmtId="11" fontId="6" fillId="2" borderId="16" xfId="0" applyFill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1" fontId="15" fillId="0" borderId="0" xfId="0" applyNumberFormat="1" applyFont="1" applyAlignment="1">
      <alignment/>
    </xf>
    <xf numFmtId="197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94" fontId="18" fillId="0" borderId="0" xfId="0" applyNumberFormat="1" applyFont="1" applyAlignment="1">
      <alignment/>
    </xf>
    <xf numFmtId="11" fontId="18" fillId="0" borderId="0" xfId="0" applyNumberFormat="1" applyFont="1" applyAlignment="1">
      <alignment/>
    </xf>
    <xf numFmtId="11" fontId="18" fillId="0" borderId="0" xfId="0" applyFont="1" applyAlignment="1">
      <alignment/>
    </xf>
    <xf numFmtId="197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194" fontId="18" fillId="0" borderId="0" xfId="0" applyNumberFormat="1" applyFont="1" applyFill="1" applyAlignment="1">
      <alignment/>
    </xf>
    <xf numFmtId="11" fontId="18" fillId="0" borderId="0" xfId="0" applyNumberFormat="1" applyFont="1" applyFill="1" applyAlignment="1">
      <alignment/>
    </xf>
    <xf numFmtId="11" fontId="18" fillId="0" borderId="0" xfId="0" applyFont="1" applyFill="1" applyAlignment="1">
      <alignment/>
    </xf>
    <xf numFmtId="197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/>
    </xf>
    <xf numFmtId="0" fontId="18" fillId="8" borderId="0" xfId="0" applyFont="1" applyFill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94" fontId="18" fillId="0" borderId="0" xfId="0" applyNumberFormat="1" applyFont="1" applyFill="1" applyBorder="1" applyAlignment="1">
      <alignment/>
    </xf>
    <xf numFmtId="11" fontId="17" fillId="0" borderId="0" xfId="0" applyNumberFormat="1" applyFont="1" applyAlignment="1">
      <alignment/>
    </xf>
    <xf numFmtId="197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94" fontId="18" fillId="0" borderId="0" xfId="0" applyNumberFormat="1" applyFont="1" applyFill="1" applyBorder="1" applyAlignment="1">
      <alignment/>
    </xf>
    <xf numFmtId="194" fontId="17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5" fillId="2" borderId="15" xfId="0" applyNumberFormat="1" applyFill="1" applyBorder="1" applyAlignment="1" applyProtection="1">
      <alignment/>
      <protection locked="0"/>
    </xf>
    <xf numFmtId="4" fontId="4" fillId="2" borderId="15" xfId="0" applyNumberFormat="1" applyFill="1" applyBorder="1" applyAlignment="1">
      <alignment/>
    </xf>
    <xf numFmtId="4" fontId="6" fillId="2" borderId="15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3" fontId="5" fillId="2" borderId="12" xfId="0" applyNumberFormat="1" applyFill="1" applyBorder="1" applyAlignment="1" applyProtection="1">
      <alignment/>
      <protection locked="0"/>
    </xf>
    <xf numFmtId="3" fontId="6" fillId="2" borderId="12" xfId="0" applyNumberFormat="1" applyFont="1" applyFill="1" applyBorder="1" applyAlignment="1" applyProtection="1">
      <alignment/>
      <protection locked="0"/>
    </xf>
    <xf numFmtId="3" fontId="6" fillId="2" borderId="12" xfId="0" applyNumberFormat="1" applyFill="1" applyBorder="1" applyAlignment="1">
      <alignment/>
    </xf>
    <xf numFmtId="3" fontId="5" fillId="2" borderId="12" xfId="0" applyNumberFormat="1" applyFont="1" applyFill="1" applyBorder="1" applyAlignment="1" applyProtection="1" quotePrefix="1">
      <alignment/>
      <protection locked="0"/>
    </xf>
    <xf numFmtId="4" fontId="4" fillId="2" borderId="12" xfId="0" applyNumberFormat="1" applyFill="1" applyBorder="1" applyAlignment="1">
      <alignment/>
    </xf>
    <xf numFmtId="4" fontId="6" fillId="2" borderId="12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</xdr:row>
      <xdr:rowOff>28575</xdr:rowOff>
    </xdr:from>
    <xdr:to>
      <xdr:col>13</xdr:col>
      <xdr:colOff>266700</xdr:colOff>
      <xdr:row>31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52425"/>
          <a:ext cx="634365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9525</xdr:colOff>
      <xdr:row>15</xdr:row>
      <xdr:rowOff>123825</xdr:rowOff>
    </xdr:from>
    <xdr:ext cx="428625" cy="200025"/>
    <xdr:sp textlink="E2">
      <xdr:nvSpPr>
        <xdr:cNvPr id="2" name="TextBox 2"/>
        <xdr:cNvSpPr txBox="1">
          <a:spLocks noChangeArrowheads="1"/>
        </xdr:cNvSpPr>
      </xdr:nvSpPr>
      <xdr:spPr>
        <a:xfrm>
          <a:off x="4572000" y="2552700"/>
          <a:ext cx="42862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33fa79fc-298f-4039-ba7b-00bc5c56c0ba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oneCellAnchor>
  <xdr:oneCellAnchor>
    <xdr:from>
      <xdr:col>7</xdr:col>
      <xdr:colOff>552450</xdr:colOff>
      <xdr:row>8</xdr:row>
      <xdr:rowOff>66675</xdr:rowOff>
    </xdr:from>
    <xdr:ext cx="514350" cy="200025"/>
    <xdr:sp textlink="$B$13">
      <xdr:nvSpPr>
        <xdr:cNvPr id="3" name="TextBox 11"/>
        <xdr:cNvSpPr txBox="1">
          <a:spLocks noChangeArrowheads="1"/>
        </xdr:cNvSpPr>
      </xdr:nvSpPr>
      <xdr:spPr>
        <a:xfrm>
          <a:off x="4400550" y="1362075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7d5fdff7-e8cd-4b5d-a48a-f17e8e61392f}" type="TxLink">
            <a:rPr lang="en-US" cap="none" sz="1000" b="0" i="0" u="none" baseline="0"/>
            <a:t>150,000</a:t>
          </a:fld>
        </a:p>
      </xdr:txBody>
    </xdr:sp>
    <xdr:clientData/>
  </xdr:oneCellAnchor>
  <xdr:oneCellAnchor>
    <xdr:from>
      <xdr:col>7</xdr:col>
      <xdr:colOff>600075</xdr:colOff>
      <xdr:row>23</xdr:row>
      <xdr:rowOff>123825</xdr:rowOff>
    </xdr:from>
    <xdr:ext cx="142875" cy="200025"/>
    <xdr:sp textlink="$B$12">
      <xdr:nvSpPr>
        <xdr:cNvPr id="4" name="TextBox 12"/>
        <xdr:cNvSpPr txBox="1">
          <a:spLocks noChangeArrowheads="1"/>
        </xdr:cNvSpPr>
      </xdr:nvSpPr>
      <xdr:spPr>
        <a:xfrm>
          <a:off x="4448175" y="3848100"/>
          <a:ext cx="14287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01fdd306-f526-46ca-800d-ec3ce29d9729}" type="TxLink">
            <a:rPr lang="en-US" cap="none" sz="1000" b="0" i="0" u="none" baseline="0"/>
            <a:t>0</a:t>
          </a:fld>
        </a:p>
      </xdr:txBody>
    </xdr:sp>
    <xdr:clientData/>
  </xdr:oneCellAnchor>
  <xdr:oneCellAnchor>
    <xdr:from>
      <xdr:col>5</xdr:col>
      <xdr:colOff>523875</xdr:colOff>
      <xdr:row>23</xdr:row>
      <xdr:rowOff>133350</xdr:rowOff>
    </xdr:from>
    <xdr:ext cx="514350" cy="200025"/>
    <xdr:sp textlink="$B$11">
      <xdr:nvSpPr>
        <xdr:cNvPr id="5" name="TextBox 13"/>
        <xdr:cNvSpPr txBox="1">
          <a:spLocks noChangeArrowheads="1"/>
        </xdr:cNvSpPr>
      </xdr:nvSpPr>
      <xdr:spPr>
        <a:xfrm>
          <a:off x="3257550" y="3857625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56ab9f1e-51b0-4728-becd-9fdeca9c4197}" type="TxLink">
            <a:rPr lang="en-US" cap="none" sz="1000" b="0" i="0" u="none" baseline="0"/>
            <a:t>470,000</a:t>
          </a:fld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10</xdr:row>
      <xdr:rowOff>133350</xdr:rowOff>
    </xdr:from>
    <xdr:ext cx="190500" cy="200025"/>
    <xdr:sp>
      <xdr:nvSpPr>
        <xdr:cNvPr id="1" name="TextBox 11"/>
        <xdr:cNvSpPr txBox="1">
          <a:spLocks noChangeArrowheads="1"/>
        </xdr:cNvSpPr>
      </xdr:nvSpPr>
      <xdr:spPr>
        <a:xfrm>
          <a:off x="4352925" y="1752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</a:t>
          </a:r>
        </a:p>
      </xdr:txBody>
    </xdr:sp>
    <xdr:clientData/>
  </xdr:oneCellAnchor>
  <xdr:twoCellAnchor>
    <xdr:from>
      <xdr:col>3</xdr:col>
      <xdr:colOff>352425</xdr:colOff>
      <xdr:row>2</xdr:row>
      <xdr:rowOff>66675</xdr:rowOff>
    </xdr:from>
    <xdr:to>
      <xdr:col>12</xdr:col>
      <xdr:colOff>600075</xdr:colOff>
      <xdr:row>30</xdr:row>
      <xdr:rowOff>133350</xdr:rowOff>
    </xdr:to>
    <xdr:grpSp>
      <xdr:nvGrpSpPr>
        <xdr:cNvPr id="2" name="Group 25"/>
        <xdr:cNvGrpSpPr>
          <a:grpSpLocks/>
        </xdr:cNvGrpSpPr>
      </xdr:nvGrpSpPr>
      <xdr:grpSpPr>
        <a:xfrm>
          <a:off x="1771650" y="390525"/>
          <a:ext cx="5734050" cy="4600575"/>
          <a:chOff x="253" y="46"/>
          <a:chExt cx="602" cy="48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3" y="46"/>
            <a:ext cx="602" cy="483"/>
          </a:xfrm>
          <a:prstGeom prst="rect">
            <a:avLst/>
          </a:prstGeom>
          <a:noFill/>
          <a:ln w="9525" cmpd="sng">
            <a:noFill/>
          </a:ln>
        </xdr:spPr>
      </xdr:pic>
      <xdr:sp textlink="$B$21">
        <xdr:nvSpPr>
          <xdr:cNvPr id="4" name="TextBox 4"/>
          <xdr:cNvSpPr txBox="1">
            <a:spLocks noChangeArrowheads="1"/>
          </xdr:cNvSpPr>
        </xdr:nvSpPr>
        <xdr:spPr>
          <a:xfrm>
            <a:off x="346" y="269"/>
            <a:ext cx="58" cy="1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38b4fc0-9993-4f77-b0a9-062841de62b0}" type="TxLink">
              <a:rPr lang="en-US" cap="none" sz="1000" b="0" i="0" u="none" baseline="0"/>
              <a:t>3.58E-12</a:t>
            </a:fld>
          </a:p>
        </xdr:txBody>
      </xdr:sp>
      <xdr:sp textlink="$B$16">
        <xdr:nvSpPr>
          <xdr:cNvPr id="5" name="TextBox 5"/>
          <xdr:cNvSpPr txBox="1">
            <a:spLocks noChangeArrowheads="1"/>
          </xdr:cNvSpPr>
        </xdr:nvSpPr>
        <xdr:spPr>
          <a:xfrm>
            <a:off x="533" y="140"/>
            <a:ext cx="46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ea13990-2d25-484d-ba93-becef4ce5646}" type="TxLink">
              <a:rPr lang="en-US" cap="none" sz="1000" b="0" i="0" u="none" baseline="0"/>
              <a:t>---</a:t>
            </a:fld>
          </a:p>
        </xdr:txBody>
      </xdr:sp>
      <xdr:sp textlink="$B$15">
        <xdr:nvSpPr>
          <xdr:cNvPr id="6" name="TextBox 6"/>
          <xdr:cNvSpPr txBox="1">
            <a:spLocks noChangeArrowheads="1"/>
          </xdr:cNvSpPr>
        </xdr:nvSpPr>
        <xdr:spPr>
          <a:xfrm>
            <a:off x="550" y="358"/>
            <a:ext cx="50" cy="1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b1b4921-7797-4118-9ed9-353f5b1725bd}" type="TxLink">
              <a:rPr lang="en-US" cap="none" sz="1000" b="0" i="0" u="none" baseline="0"/>
              <a:t>490</a:t>
            </a:fld>
          </a:p>
        </xdr:txBody>
      </xdr:sp>
      <xdr:sp textlink="$B$14">
        <xdr:nvSpPr>
          <xdr:cNvPr id="7" name="TextBox 7"/>
          <xdr:cNvSpPr txBox="1">
            <a:spLocks noChangeArrowheads="1"/>
          </xdr:cNvSpPr>
        </xdr:nvSpPr>
        <xdr:spPr>
          <a:xfrm>
            <a:off x="431" y="361"/>
            <a:ext cx="58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91655e7-8fae-4676-9908-8446621a4729}" type="TxLink">
              <a:rPr lang="en-US" cap="none" sz="1000" b="0" i="0" u="none" baseline="0"/>
              <a:t>470,000</a:t>
            </a:fld>
          </a:p>
        </xdr:txBody>
      </xdr:sp>
      <xdr:sp textlink="$E$2">
        <xdr:nvSpPr>
          <xdr:cNvPr id="8" name="TextBox 8"/>
          <xdr:cNvSpPr txBox="1">
            <a:spLocks noChangeArrowheads="1"/>
          </xdr:cNvSpPr>
        </xdr:nvSpPr>
        <xdr:spPr>
          <a:xfrm>
            <a:off x="550" y="258"/>
            <a:ext cx="62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0878dd0-d57e-47fd-9803-d277fde3996a}" type="TxLink">
              <a:rPr lang="en-US" cap="none" sz="1000" b="0" i="0" u="none" baseline="0">
                <a:latin typeface="Arial"/>
                <a:ea typeface="Arial"/>
                <a:cs typeface="Arial"/>
              </a:rPr>
              <a:t>1G4gt</a:t>
            </a:fld>
          </a:p>
        </xdr:txBody>
      </xdr:sp>
      <xdr:sp textlink="$F$2">
        <xdr:nvSpPr>
          <xdr:cNvPr id="9" name="TextBox 9"/>
          <xdr:cNvSpPr txBox="1">
            <a:spLocks noChangeArrowheads="1"/>
          </xdr:cNvSpPr>
        </xdr:nvSpPr>
        <xdr:spPr>
          <a:xfrm>
            <a:off x="533" y="65"/>
            <a:ext cx="51" cy="1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386060b-374c-48c7-8b17-b8f8d9e5aa5a}" type="TxLink">
              <a:rPr lang="en-US" cap="none" sz="1000" b="0" i="0" u="none" baseline="0">
                <a:latin typeface="Arial"/>
                <a:ea typeface="Arial"/>
                <a:cs typeface="Arial"/>
              </a:rPr>
              <a:t>90</a:t>
            </a:fld>
          </a:p>
        </xdr:txBody>
      </xdr:sp>
      <xdr:sp textlink="$I$2">
        <xdr:nvSpPr>
          <xdr:cNvPr id="10" name="TextBox 10"/>
          <xdr:cNvSpPr txBox="1">
            <a:spLocks noChangeArrowheads="1"/>
          </xdr:cNvSpPr>
        </xdr:nvSpPr>
        <xdr:spPr>
          <a:xfrm>
            <a:off x="523" y="202"/>
            <a:ext cx="50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3966bc3-5cd1-4a38-b606-d7ac9152e14a}" type="TxLink">
              <a:rPr lang="en-US" cap="none" sz="1000" b="0" i="0" u="none" baseline="0">
                <a:latin typeface="Arial"/>
                <a:ea typeface="Arial"/>
                <a:cs typeface="Arial"/>
              </a:rPr>
              <a:t>10700</a:t>
            </a:fld>
          </a:p>
        </xdr:txBody>
      </xdr:sp>
      <xdr:sp textlink="$B$18">
        <xdr:nvSpPr>
          <xdr:cNvPr id="11" name="TextBox 12"/>
          <xdr:cNvSpPr txBox="1">
            <a:spLocks noChangeArrowheads="1"/>
          </xdr:cNvSpPr>
        </xdr:nvSpPr>
        <xdr:spPr>
          <a:xfrm>
            <a:off x="712" y="275"/>
            <a:ext cx="54" cy="21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fld id="{9ee57203-14b5-4afe-b02b-5ae8ecacaafd}" type="TxLink">
              <a:rPr lang="en-US" cap="none" sz="1000" b="0" i="0" u="none" baseline="0"/>
              <a:t>1091.84</a:t>
            </a:fld>
          </a:p>
        </xdr:txBody>
      </xdr:sp>
      <xdr:sp textlink="$B$19">
        <xdr:nvSpPr>
          <xdr:cNvPr id="12" name="TextBox 14"/>
          <xdr:cNvSpPr txBox="1">
            <a:spLocks noChangeArrowheads="1"/>
          </xdr:cNvSpPr>
        </xdr:nvSpPr>
        <xdr:spPr>
          <a:xfrm>
            <a:off x="711" y="220"/>
            <a:ext cx="33" cy="21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fld id="{c4e20b94-49e4-41fc-b6e0-5b1353d6a65b}" type="TxLink">
              <a:rPr lang="en-US" cap="none" sz="1000" b="0" i="0" u="none" baseline="0"/>
              <a:t>0.28</a:t>
            </a:fld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713" y="257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R_out</a:t>
            </a:r>
          </a:p>
        </xdr:txBody>
      </xdr:sp>
      <xdr:sp>
        <xdr:nvSpPr>
          <xdr:cNvPr id="14" name="TextBox 16"/>
          <xdr:cNvSpPr txBox="1">
            <a:spLocks noChangeArrowheads="1"/>
          </xdr:cNvSpPr>
        </xdr:nvSpPr>
        <xdr:spPr>
          <a:xfrm>
            <a:off x="710" y="207"/>
            <a:ext cx="3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Gain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47625</xdr:rowOff>
    </xdr:from>
    <xdr:to>
      <xdr:col>12</xdr:col>
      <xdr:colOff>390525</xdr:colOff>
      <xdr:row>37</xdr:row>
      <xdr:rowOff>85725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71475"/>
          <a:ext cx="580072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219075</xdr:colOff>
      <xdr:row>15</xdr:row>
      <xdr:rowOff>57150</xdr:rowOff>
    </xdr:from>
    <xdr:ext cx="381000" cy="200025"/>
    <xdr:sp textlink="$B$14">
      <xdr:nvSpPr>
        <xdr:cNvPr id="2" name="TextBox 20"/>
        <xdr:cNvSpPr txBox="1">
          <a:spLocks noChangeArrowheads="1"/>
        </xdr:cNvSpPr>
      </xdr:nvSpPr>
      <xdr:spPr>
        <a:xfrm>
          <a:off x="4095750" y="248602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a2936c57-2d1c-4915-8d57-f3f6b3225a06}" type="TxLink">
            <a:rPr lang="en-US" cap="none" sz="1000" b="0" i="0" u="none" baseline="0"/>
            <a:t>1,200</a:t>
          </a:fld>
        </a:p>
      </xdr:txBody>
    </xdr:sp>
    <xdr:clientData/>
  </xdr:oneCellAnchor>
  <xdr:oneCellAnchor>
    <xdr:from>
      <xdr:col>7</xdr:col>
      <xdr:colOff>390525</xdr:colOff>
      <xdr:row>26</xdr:row>
      <xdr:rowOff>133350</xdr:rowOff>
    </xdr:from>
    <xdr:ext cx="342900" cy="180975"/>
    <xdr:sp textlink="$B$13">
      <xdr:nvSpPr>
        <xdr:cNvPr id="3" name="TextBox 21"/>
        <xdr:cNvSpPr txBox="1">
          <a:spLocks noChangeArrowheads="1"/>
        </xdr:cNvSpPr>
      </xdr:nvSpPr>
      <xdr:spPr>
        <a:xfrm>
          <a:off x="4267200" y="4343400"/>
          <a:ext cx="34290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f9d994b1-6ac9-4047-895f-f352c47ba3f2}" type="TxLink">
            <a:rPr lang="en-US" cap="none" sz="1000" b="0" i="0" u="none" baseline="0"/>
            <a:t>0</a:t>
          </a:fld>
        </a:p>
      </xdr:txBody>
    </xdr:sp>
    <xdr:clientData/>
  </xdr:oneCellAnchor>
  <xdr:oneCellAnchor>
    <xdr:from>
      <xdr:col>10</xdr:col>
      <xdr:colOff>428625</xdr:colOff>
      <xdr:row>9</xdr:row>
      <xdr:rowOff>0</xdr:rowOff>
    </xdr:from>
    <xdr:ext cx="371475" cy="200025"/>
    <xdr:sp>
      <xdr:nvSpPr>
        <xdr:cNvPr id="4" name="TextBox 22"/>
        <xdr:cNvSpPr txBox="1">
          <a:spLocks noChangeArrowheads="1"/>
        </xdr:cNvSpPr>
      </xdr:nvSpPr>
      <xdr:spPr>
        <a:xfrm>
          <a:off x="6134100" y="14573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Gain:</a:t>
          </a:r>
        </a:p>
      </xdr:txBody>
    </xdr:sp>
    <xdr:clientData/>
  </xdr:oneCellAnchor>
  <xdr:oneCellAnchor>
    <xdr:from>
      <xdr:col>11</xdr:col>
      <xdr:colOff>247650</xdr:colOff>
      <xdr:row>8</xdr:row>
      <xdr:rowOff>152400</xdr:rowOff>
    </xdr:from>
    <xdr:ext cx="381000" cy="200025"/>
    <xdr:sp textlink="$B$18">
      <xdr:nvSpPr>
        <xdr:cNvPr id="5" name="TextBox 23"/>
        <xdr:cNvSpPr txBox="1">
          <a:spLocks noChangeArrowheads="1"/>
        </xdr:cNvSpPr>
      </xdr:nvSpPr>
      <xdr:spPr>
        <a:xfrm>
          <a:off x="6562725" y="1447800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19c49aeb-28ca-4206-9be1-23ec73768b30}" type="TxLink">
            <a:rPr lang="en-US" cap="none" sz="1000" b="0" i="0" u="none" baseline="0"/>
            <a:t>74.61</a:t>
          </a:fld>
        </a:p>
      </xdr:txBody>
    </xdr:sp>
    <xdr:clientData/>
  </xdr:oneCellAnchor>
  <xdr:twoCellAnchor>
    <xdr:from>
      <xdr:col>7</xdr:col>
      <xdr:colOff>276225</xdr:colOff>
      <xdr:row>9</xdr:row>
      <xdr:rowOff>19050</xdr:rowOff>
    </xdr:from>
    <xdr:to>
      <xdr:col>8</xdr:col>
      <xdr:colOff>219075</xdr:colOff>
      <xdr:row>10</xdr:row>
      <xdr:rowOff>28575</xdr:rowOff>
    </xdr:to>
    <xdr:sp textlink="$E$2">
      <xdr:nvSpPr>
        <xdr:cNvPr id="6" name="TextBox 24"/>
        <xdr:cNvSpPr txBox="1">
          <a:spLocks noChangeArrowheads="1"/>
        </xdr:cNvSpPr>
      </xdr:nvSpPr>
      <xdr:spPr>
        <a:xfrm>
          <a:off x="4152900" y="1476375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57be90ec-555a-4932-b03d-fcd9d24cb55c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twoCellAnchor>
    <xdr:from>
      <xdr:col>7</xdr:col>
      <xdr:colOff>409575</xdr:colOff>
      <xdr:row>20</xdr:row>
      <xdr:rowOff>114300</xdr:rowOff>
    </xdr:from>
    <xdr:to>
      <xdr:col>8</xdr:col>
      <xdr:colOff>352425</xdr:colOff>
      <xdr:row>21</xdr:row>
      <xdr:rowOff>123825</xdr:rowOff>
    </xdr:to>
    <xdr:sp textlink="$E$2">
      <xdr:nvSpPr>
        <xdr:cNvPr id="7" name="TextBox 25"/>
        <xdr:cNvSpPr txBox="1">
          <a:spLocks noChangeArrowheads="1"/>
        </xdr:cNvSpPr>
      </xdr:nvSpPr>
      <xdr:spPr>
        <a:xfrm>
          <a:off x="4286250" y="3352800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91a42a5a-d3c5-4470-829e-134725948504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oneCellAnchor>
    <xdr:from>
      <xdr:col>4</xdr:col>
      <xdr:colOff>581025</xdr:colOff>
      <xdr:row>12</xdr:row>
      <xdr:rowOff>142875</xdr:rowOff>
    </xdr:from>
    <xdr:ext cx="514350" cy="200025"/>
    <xdr:sp textlink="$B$12">
      <xdr:nvSpPr>
        <xdr:cNvPr id="8" name="TextBox 26"/>
        <xdr:cNvSpPr txBox="1">
          <a:spLocks noChangeArrowheads="1"/>
        </xdr:cNvSpPr>
      </xdr:nvSpPr>
      <xdr:spPr>
        <a:xfrm>
          <a:off x="2628900" y="2085975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203f8874-121b-4208-9683-e761f1065595}" type="TxLink">
            <a:rPr lang="en-US" cap="none" sz="1000" b="0" i="0" u="none" baseline="0"/>
            <a:t>470,000</a:t>
          </a:fld>
        </a:p>
      </xdr:txBody>
    </xdr:sp>
    <xdr:clientData/>
  </xdr:oneCellAnchor>
  <xdr:oneCellAnchor>
    <xdr:from>
      <xdr:col>5</xdr:col>
      <xdr:colOff>523875</xdr:colOff>
      <xdr:row>26</xdr:row>
      <xdr:rowOff>114300</xdr:rowOff>
    </xdr:from>
    <xdr:ext cx="514350" cy="200025"/>
    <xdr:sp textlink="$B$12">
      <xdr:nvSpPr>
        <xdr:cNvPr id="9" name="TextBox 27"/>
        <xdr:cNvSpPr txBox="1">
          <a:spLocks noChangeArrowheads="1"/>
        </xdr:cNvSpPr>
      </xdr:nvSpPr>
      <xdr:spPr>
        <a:xfrm>
          <a:off x="3181350" y="4324350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f06bc8b9-cfda-40e8-b0e4-b14b96f1cfd0}" type="TxLink">
            <a:rPr lang="en-US" cap="none" sz="1000" b="0" i="0" u="none" baseline="0"/>
            <a:t>470,000</a:t>
          </a:fld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</xdr:row>
      <xdr:rowOff>0</xdr:rowOff>
    </xdr:from>
    <xdr:to>
      <xdr:col>10</xdr:col>
      <xdr:colOff>9525</xdr:colOff>
      <xdr:row>32</xdr:row>
      <xdr:rowOff>76200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85775"/>
          <a:ext cx="47910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142875</xdr:colOff>
      <xdr:row>14</xdr:row>
      <xdr:rowOff>85725</xdr:rowOff>
    </xdr:from>
    <xdr:ext cx="381000" cy="200025"/>
    <xdr:sp textlink="$B$14">
      <xdr:nvSpPr>
        <xdr:cNvPr id="2" name="TextBox 14"/>
        <xdr:cNvSpPr txBox="1">
          <a:spLocks noChangeArrowheads="1"/>
        </xdr:cNvSpPr>
      </xdr:nvSpPr>
      <xdr:spPr>
        <a:xfrm>
          <a:off x="4410075" y="235267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0dadeae5-9623-4714-acae-073ac694bb70}" type="TxLink">
            <a:rPr lang="en-US" cap="none" sz="1000" b="0" i="0" u="none" baseline="0"/>
            <a:t>1,200</a:t>
          </a:fld>
        </a:p>
      </xdr:txBody>
    </xdr:sp>
    <xdr:clientData/>
  </xdr:oneCellAnchor>
  <xdr:oneCellAnchor>
    <xdr:from>
      <xdr:col>7</xdr:col>
      <xdr:colOff>257175</xdr:colOff>
      <xdr:row>26</xdr:row>
      <xdr:rowOff>0</xdr:rowOff>
    </xdr:from>
    <xdr:ext cx="342900" cy="180975"/>
    <xdr:sp textlink="$B$13">
      <xdr:nvSpPr>
        <xdr:cNvPr id="3" name="TextBox 15"/>
        <xdr:cNvSpPr txBox="1">
          <a:spLocks noChangeArrowheads="1"/>
        </xdr:cNvSpPr>
      </xdr:nvSpPr>
      <xdr:spPr>
        <a:xfrm>
          <a:off x="4524375" y="4210050"/>
          <a:ext cx="34290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dac24ba9-9290-47d2-9abd-7bfe52cff0e7}" type="TxLink">
            <a:rPr lang="en-US" cap="none" sz="1000" b="0" i="0" u="none" baseline="0"/>
            <a:t>0</a:t>
          </a:fld>
        </a:p>
      </xdr:txBody>
    </xdr:sp>
    <xdr:clientData/>
  </xdr:oneCellAnchor>
  <xdr:oneCellAnchor>
    <xdr:from>
      <xdr:col>9</xdr:col>
      <xdr:colOff>361950</xdr:colOff>
      <xdr:row>12</xdr:row>
      <xdr:rowOff>133350</xdr:rowOff>
    </xdr:from>
    <xdr:ext cx="371475" cy="200025"/>
    <xdr:sp>
      <xdr:nvSpPr>
        <xdr:cNvPr id="4" name="TextBox 16"/>
        <xdr:cNvSpPr txBox="1">
          <a:spLocks noChangeArrowheads="1"/>
        </xdr:cNvSpPr>
      </xdr:nvSpPr>
      <xdr:spPr>
        <a:xfrm>
          <a:off x="5848350" y="20764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Gain:</a:t>
          </a:r>
        </a:p>
      </xdr:txBody>
    </xdr:sp>
    <xdr:clientData/>
  </xdr:oneCellAnchor>
  <xdr:oneCellAnchor>
    <xdr:from>
      <xdr:col>10</xdr:col>
      <xdr:colOff>342900</xdr:colOff>
      <xdr:row>12</xdr:row>
      <xdr:rowOff>104775</xdr:rowOff>
    </xdr:from>
    <xdr:ext cx="381000" cy="200025"/>
    <xdr:sp textlink="$B$18">
      <xdr:nvSpPr>
        <xdr:cNvPr id="5" name="TextBox 17"/>
        <xdr:cNvSpPr txBox="1">
          <a:spLocks noChangeArrowheads="1"/>
        </xdr:cNvSpPr>
      </xdr:nvSpPr>
      <xdr:spPr>
        <a:xfrm>
          <a:off x="6438900" y="204787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9264b175-1ee9-4d94-a209-078159ce4f13}" type="TxLink">
            <a:rPr lang="en-US" cap="none" sz="1000" b="0" i="0" u="none" baseline="0"/>
            <a:t>50.48</a:t>
          </a:fld>
        </a:p>
      </xdr:txBody>
    </xdr:sp>
    <xdr:clientData/>
  </xdr:oneCellAnchor>
  <xdr:twoCellAnchor>
    <xdr:from>
      <xdr:col>7</xdr:col>
      <xdr:colOff>114300</xdr:colOff>
      <xdr:row>8</xdr:row>
      <xdr:rowOff>133350</xdr:rowOff>
    </xdr:from>
    <xdr:to>
      <xdr:col>8</xdr:col>
      <xdr:colOff>123825</xdr:colOff>
      <xdr:row>9</xdr:row>
      <xdr:rowOff>152400</xdr:rowOff>
    </xdr:to>
    <xdr:sp textlink="$E$2">
      <xdr:nvSpPr>
        <xdr:cNvPr id="6" name="TextBox 18"/>
        <xdr:cNvSpPr txBox="1">
          <a:spLocks noChangeArrowheads="1"/>
        </xdr:cNvSpPr>
      </xdr:nvSpPr>
      <xdr:spPr>
        <a:xfrm>
          <a:off x="4381500" y="1428750"/>
          <a:ext cx="61912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bf20d291-b171-4d30-b941-d5818a0426be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twoCellAnchor>
    <xdr:from>
      <xdr:col>7</xdr:col>
      <xdr:colOff>295275</xdr:colOff>
      <xdr:row>20</xdr:row>
      <xdr:rowOff>38100</xdr:rowOff>
    </xdr:from>
    <xdr:to>
      <xdr:col>8</xdr:col>
      <xdr:colOff>323850</xdr:colOff>
      <xdr:row>21</xdr:row>
      <xdr:rowOff>47625</xdr:rowOff>
    </xdr:to>
    <xdr:sp textlink="$E$2">
      <xdr:nvSpPr>
        <xdr:cNvPr id="7" name="TextBox 19"/>
        <xdr:cNvSpPr txBox="1">
          <a:spLocks noChangeArrowheads="1"/>
        </xdr:cNvSpPr>
      </xdr:nvSpPr>
      <xdr:spPr>
        <a:xfrm>
          <a:off x="4562475" y="3276600"/>
          <a:ext cx="638175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5a8d74b2-7e40-4120-8541-c55e4df7ffac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twoCellAnchor>
    <xdr:from>
      <xdr:col>5</xdr:col>
      <xdr:colOff>285750</xdr:colOff>
      <xdr:row>25</xdr:row>
      <xdr:rowOff>9525</xdr:rowOff>
    </xdr:from>
    <xdr:to>
      <xdr:col>6</xdr:col>
      <xdr:colOff>228600</xdr:colOff>
      <xdr:row>26</xdr:row>
      <xdr:rowOff>19050</xdr:rowOff>
    </xdr:to>
    <xdr:sp textlink="$B$12">
      <xdr:nvSpPr>
        <xdr:cNvPr id="8" name="TextBox 23"/>
        <xdr:cNvSpPr txBox="1">
          <a:spLocks noChangeArrowheads="1"/>
        </xdr:cNvSpPr>
      </xdr:nvSpPr>
      <xdr:spPr>
        <a:xfrm>
          <a:off x="3333750" y="4057650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a9b7c675-27f7-4748-ad9d-b0a347093927}" type="TxLink">
            <a:rPr lang="en-US" cap="none" sz="1000" b="0" i="0" u="none" baseline="0"/>
            <a:t>470,000</a:t>
          </a:fld>
        </a:p>
      </xdr:txBody>
    </xdr:sp>
    <xdr:clientData/>
  </xdr:twoCellAnchor>
  <xdr:oneCellAnchor>
    <xdr:from>
      <xdr:col>9</xdr:col>
      <xdr:colOff>361950</xdr:colOff>
      <xdr:row>14</xdr:row>
      <xdr:rowOff>9525</xdr:rowOff>
    </xdr:from>
    <xdr:ext cx="638175" cy="200025"/>
    <xdr:sp>
      <xdr:nvSpPr>
        <xdr:cNvPr id="9" name="TextBox 24"/>
        <xdr:cNvSpPr txBox="1">
          <a:spLocks noChangeArrowheads="1"/>
        </xdr:cNvSpPr>
      </xdr:nvSpPr>
      <xdr:spPr>
        <a:xfrm>
          <a:off x="5848350" y="227647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Gain (dB):</a:t>
          </a:r>
        </a:p>
      </xdr:txBody>
    </xdr:sp>
    <xdr:clientData/>
  </xdr:oneCellAnchor>
  <xdr:oneCellAnchor>
    <xdr:from>
      <xdr:col>10</xdr:col>
      <xdr:colOff>342900</xdr:colOff>
      <xdr:row>13</xdr:row>
      <xdr:rowOff>152400</xdr:rowOff>
    </xdr:from>
    <xdr:ext cx="381000" cy="200025"/>
    <xdr:sp textlink="$B$19">
      <xdr:nvSpPr>
        <xdr:cNvPr id="10" name="TextBox 25"/>
        <xdr:cNvSpPr txBox="1">
          <a:spLocks noChangeArrowheads="1"/>
        </xdr:cNvSpPr>
      </xdr:nvSpPr>
      <xdr:spPr>
        <a:xfrm>
          <a:off x="6438900" y="225742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093e58ca-29b5-4cd9-a1f1-dc7bb65934f0}" type="TxLink">
            <a:rPr lang="en-US" cap="none" sz="1000" b="0" i="0" u="none" baseline="0"/>
            <a:t>34.06</a:t>
          </a:fld>
        </a:p>
      </xdr:txBody>
    </xdr:sp>
    <xdr:clientData/>
  </xdr:oneCellAnchor>
  <xdr:twoCellAnchor>
    <xdr:from>
      <xdr:col>4</xdr:col>
      <xdr:colOff>304800</xdr:colOff>
      <xdr:row>12</xdr:row>
      <xdr:rowOff>0</xdr:rowOff>
    </xdr:from>
    <xdr:to>
      <xdr:col>5</xdr:col>
      <xdr:colOff>247650</xdr:colOff>
      <xdr:row>13</xdr:row>
      <xdr:rowOff>9525</xdr:rowOff>
    </xdr:to>
    <xdr:sp textlink="$B$12">
      <xdr:nvSpPr>
        <xdr:cNvPr id="11" name="TextBox 26"/>
        <xdr:cNvSpPr txBox="1">
          <a:spLocks noChangeArrowheads="1"/>
        </xdr:cNvSpPr>
      </xdr:nvSpPr>
      <xdr:spPr>
        <a:xfrm>
          <a:off x="2743200" y="1943100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b4d3bf75-c4cc-47ce-b052-25518296679d}" type="TxLink">
            <a:rPr lang="en-US" cap="none" sz="1000" b="0" i="0" u="none" baseline="0"/>
            <a:t>470,000</a:t>
          </a:fld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28575</xdr:rowOff>
    </xdr:from>
    <xdr:to>
      <xdr:col>11</xdr:col>
      <xdr:colOff>581025</xdr:colOff>
      <xdr:row>37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52425"/>
          <a:ext cx="532447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17</xdr:row>
      <xdr:rowOff>104775</xdr:rowOff>
    </xdr:from>
    <xdr:ext cx="476250" cy="161925"/>
    <xdr:sp textlink="B13">
      <xdr:nvSpPr>
        <xdr:cNvPr id="2" name="TextBox 15"/>
        <xdr:cNvSpPr txBox="1">
          <a:spLocks noChangeArrowheads="1"/>
        </xdr:cNvSpPr>
      </xdr:nvSpPr>
      <xdr:spPr>
        <a:xfrm>
          <a:off x="4562475" y="2857500"/>
          <a:ext cx="4762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3bbad2b2-2f03-42f1-9e97-f92c7b886cf0}" type="TxLink">
            <a:rPr lang="en-US" cap="none" sz="1000" b="0" i="0" u="none" baseline="0">
              <a:solidFill>
                <a:srgbClr val="0000FF"/>
              </a:solidFill>
            </a:rPr>
            <a:t>47,000</a:t>
          </a:fld>
        </a:p>
      </xdr:txBody>
    </xdr:sp>
    <xdr:clientData/>
  </xdr:oneCellAnchor>
  <xdr:oneCellAnchor>
    <xdr:from>
      <xdr:col>7</xdr:col>
      <xdr:colOff>85725</xdr:colOff>
      <xdr:row>13</xdr:row>
      <xdr:rowOff>47625</xdr:rowOff>
    </xdr:from>
    <xdr:ext cx="342900" cy="171450"/>
    <xdr:sp textlink="B12">
      <xdr:nvSpPr>
        <xdr:cNvPr id="3" name="TextBox 16"/>
        <xdr:cNvSpPr txBox="1">
          <a:spLocks noChangeArrowheads="1"/>
        </xdr:cNvSpPr>
      </xdr:nvSpPr>
      <xdr:spPr>
        <a:xfrm>
          <a:off x="4562475" y="2152650"/>
          <a:ext cx="34290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16c52bfb-3a62-4ce2-acac-4d660819d825}" type="TxLink">
            <a:rPr lang="en-US" cap="none" sz="1000" b="0" i="0" u="none" baseline="0">
              <a:solidFill>
                <a:srgbClr val="0000FF"/>
              </a:solidFill>
            </a:rPr>
            <a:t>680</a:t>
          </a:fld>
        </a:p>
      </xdr:txBody>
    </xdr:sp>
    <xdr:clientData/>
  </xdr:oneCellAnchor>
  <xdr:twoCellAnchor>
    <xdr:from>
      <xdr:col>7</xdr:col>
      <xdr:colOff>228600</xdr:colOff>
      <xdr:row>28</xdr:row>
      <xdr:rowOff>19050</xdr:rowOff>
    </xdr:from>
    <xdr:to>
      <xdr:col>8</xdr:col>
      <xdr:colOff>19050</xdr:colOff>
      <xdr:row>29</xdr:row>
      <xdr:rowOff>19050</xdr:rowOff>
    </xdr:to>
    <xdr:sp textlink="B11">
      <xdr:nvSpPr>
        <xdr:cNvPr id="4" name="TextBox 17"/>
        <xdr:cNvSpPr txBox="1">
          <a:spLocks noChangeArrowheads="1"/>
        </xdr:cNvSpPr>
      </xdr:nvSpPr>
      <xdr:spPr>
        <a:xfrm>
          <a:off x="4705350" y="4552950"/>
          <a:ext cx="4000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72eac77d-7375-4c38-b6c8-319242512cbf}" type="TxLink">
            <a:rPr lang="en-US" cap="none" sz="1000" b="0" i="0" u="none" baseline="0">
              <a:solidFill>
                <a:srgbClr val="0000FF"/>
              </a:solidFill>
            </a:rPr>
            <a:t>0</a:t>
          </a:fld>
        </a:p>
      </xdr:txBody>
    </xdr:sp>
    <xdr:clientData/>
  </xdr:twoCellAnchor>
  <xdr:oneCellAnchor>
    <xdr:from>
      <xdr:col>4</xdr:col>
      <xdr:colOff>400050</xdr:colOff>
      <xdr:row>11</xdr:row>
      <xdr:rowOff>47625</xdr:rowOff>
    </xdr:from>
    <xdr:ext cx="514350" cy="171450"/>
    <xdr:sp textlink="B10">
      <xdr:nvSpPr>
        <xdr:cNvPr id="5" name="TextBox 21"/>
        <xdr:cNvSpPr txBox="1">
          <a:spLocks noChangeArrowheads="1"/>
        </xdr:cNvSpPr>
      </xdr:nvSpPr>
      <xdr:spPr>
        <a:xfrm>
          <a:off x="3048000" y="1828800"/>
          <a:ext cx="5143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bbb968f2-1294-4b29-9a1b-4349286ea77a}" type="TxLink">
            <a:rPr lang="en-US" cap="none" sz="1000" b="0" i="0" u="none" baseline="0">
              <a:solidFill>
                <a:srgbClr val="0000FF"/>
              </a:solidFill>
            </a:rPr>
            <a:t>470,000</a:t>
          </a:fld>
        </a:p>
      </xdr:txBody>
    </xdr:sp>
    <xdr:clientData/>
  </xdr:oneCellAnchor>
  <xdr:oneCellAnchor>
    <xdr:from>
      <xdr:col>5</xdr:col>
      <xdr:colOff>466725</xdr:colOff>
      <xdr:row>28</xdr:row>
      <xdr:rowOff>47625</xdr:rowOff>
    </xdr:from>
    <xdr:ext cx="514350" cy="171450"/>
    <xdr:sp textlink="B10">
      <xdr:nvSpPr>
        <xdr:cNvPr id="6" name="TextBox 22"/>
        <xdr:cNvSpPr txBox="1">
          <a:spLocks noChangeArrowheads="1"/>
        </xdr:cNvSpPr>
      </xdr:nvSpPr>
      <xdr:spPr>
        <a:xfrm>
          <a:off x="3724275" y="4581525"/>
          <a:ext cx="5143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3d648b93-b659-49a3-9ea8-556d499e3680}" type="TxLink">
            <a:rPr lang="en-US" cap="none" sz="1000" b="0" i="0" u="none" baseline="0">
              <a:solidFill>
                <a:srgbClr val="0000FF"/>
              </a:solidFill>
            </a:rPr>
            <a:t>470,000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5"/>
  <sheetViews>
    <sheetView showGridLines="0" workbookViewId="0" topLeftCell="A1">
      <selection activeCell="A24" sqref="A24"/>
    </sheetView>
  </sheetViews>
  <sheetFormatPr defaultColWidth="9.140625" defaultRowHeight="12.75"/>
  <cols>
    <col min="1" max="1" width="75.140625" style="0" customWidth="1"/>
  </cols>
  <sheetData>
    <row r="3" ht="12.75">
      <c r="A3" t="s">
        <v>64</v>
      </c>
    </row>
    <row r="5" ht="12.75">
      <c r="A5" t="s">
        <v>65</v>
      </c>
    </row>
    <row r="6" ht="12.75">
      <c r="A6" t="s">
        <v>67</v>
      </c>
    </row>
    <row r="8" ht="12.75">
      <c r="A8" t="s">
        <v>68</v>
      </c>
    </row>
    <row r="10" ht="12.75">
      <c r="A10" t="s">
        <v>70</v>
      </c>
    </row>
    <row r="14" ht="12.75">
      <c r="A14" t="s">
        <v>66</v>
      </c>
    </row>
    <row r="15" ht="12.75">
      <c r="A15" s="99">
        <v>38200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2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3.140625" style="0" customWidth="1"/>
    <col min="2" max="2" width="11.7109375" style="0" customWidth="1"/>
    <col min="3" max="3" width="9.140625" style="9" customWidth="1"/>
    <col min="4" max="4" width="9.8515625" style="0" customWidth="1"/>
    <col min="5" max="5" width="9.7109375" style="0" customWidth="1"/>
    <col min="6" max="6" width="10.140625" style="0" customWidth="1"/>
    <col min="7" max="7" width="10.00390625" style="0" customWidth="1"/>
    <col min="8" max="8" width="9.7109375" style="0" customWidth="1"/>
    <col min="11" max="11" width="18.28125" style="0" customWidth="1"/>
  </cols>
  <sheetData>
    <row r="1" spans="1:10" ht="12.75">
      <c r="A1" s="59" t="s">
        <v>53</v>
      </c>
      <c r="B1" s="93">
        <v>3</v>
      </c>
      <c r="C1" s="60" t="s">
        <v>42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2.75">
      <c r="A2" s="3" t="s">
        <v>46</v>
      </c>
      <c r="B2" s="94" t="str">
        <f>INDEX(Data!$A$2:$A$113,$B$1)</f>
        <v>12AX7</v>
      </c>
      <c r="C2" s="106" t="str">
        <f>VLOOKUP($B2,Data!$A$1:$Q118,1,TRUE)</f>
        <v>12AX7</v>
      </c>
      <c r="D2" s="107">
        <f>VLOOKUP($B2,Data!$A$1:$Q118,3,TRUE)</f>
        <v>250</v>
      </c>
      <c r="E2" s="107">
        <f>VLOOKUP($B2,Data!$A$1:$Q118,4,TRUE)</f>
        <v>-2</v>
      </c>
      <c r="F2" s="107">
        <f>VLOOKUP($B2,Data!$A$1:$Q118,5,TRUE)</f>
        <v>0.0012000000000000001</v>
      </c>
      <c r="G2" s="107">
        <f>VLOOKUP($B2,Data!$A$1:$Q118,6,TRUE)</f>
        <v>62500</v>
      </c>
      <c r="H2" s="107">
        <f>VLOOKUP($B2,Data!$A$1:$Q118,7,TRUE)</f>
        <v>1.6</v>
      </c>
      <c r="I2" s="107">
        <f>VLOOKUP($B2,Data!$A$1:$Q118,8,TRUE)</f>
        <v>100</v>
      </c>
      <c r="J2" s="112">
        <f>VLOOKUP($B2,Data!$A$1:$Q118,10,TRUE)</f>
        <v>1.7E-12</v>
      </c>
    </row>
    <row r="3" ht="12.75">
      <c r="A3" s="9"/>
    </row>
    <row r="4" ht="12.75">
      <c r="A4" s="9"/>
    </row>
    <row r="5" ht="12.75"/>
    <row r="6" spans="1:11" ht="12.75">
      <c r="A6" s="15" t="s">
        <v>7</v>
      </c>
      <c r="B6" s="16" t="s">
        <v>47</v>
      </c>
      <c r="C6" s="16" t="s">
        <v>29</v>
      </c>
      <c r="D6" s="17" t="s">
        <v>8</v>
      </c>
      <c r="E6" s="17" t="s">
        <v>9</v>
      </c>
      <c r="F6" s="17" t="s">
        <v>11</v>
      </c>
      <c r="G6" s="17" t="s">
        <v>12</v>
      </c>
      <c r="H6" s="18" t="s">
        <v>30</v>
      </c>
      <c r="I6" s="19" t="s">
        <v>10</v>
      </c>
      <c r="J6" s="20" t="s">
        <v>34</v>
      </c>
      <c r="K6" s="5"/>
    </row>
    <row r="7" spans="1:11" ht="12.75">
      <c r="A7" s="21" t="s">
        <v>54</v>
      </c>
      <c r="B7" s="21"/>
      <c r="C7" s="22">
        <v>120000</v>
      </c>
      <c r="D7" s="22">
        <v>0</v>
      </c>
      <c r="E7" s="23"/>
      <c r="F7" s="22">
        <v>470000</v>
      </c>
      <c r="G7" s="24">
        <f>$J$2*(I7+1)</f>
        <v>1.1348082191780823E-10</v>
      </c>
      <c r="H7" s="25">
        <f>($C7*($G$2+($I$2+1)*$D7))/($G$2+C7+($I$2+1)*$D7)</f>
        <v>41095.890410958906</v>
      </c>
      <c r="I7" s="25">
        <f>$I$2*C7/(C7+$G$2)</f>
        <v>65.75342465753425</v>
      </c>
      <c r="J7" s="26">
        <f>20*LOG(I7)</f>
        <v>36.358367545102624</v>
      </c>
      <c r="K7" s="5"/>
    </row>
    <row r="8" spans="1:11" ht="12.75">
      <c r="A8" s="27"/>
      <c r="B8" s="28"/>
      <c r="C8" s="29"/>
      <c r="D8" s="30" t="s">
        <v>31</v>
      </c>
      <c r="E8" s="29"/>
      <c r="F8" s="29"/>
      <c r="G8" s="31"/>
      <c r="H8" s="32"/>
      <c r="I8" s="32"/>
      <c r="J8" s="33"/>
      <c r="K8" s="5"/>
    </row>
    <row r="9" spans="1:11" ht="12.75">
      <c r="A9" s="7"/>
      <c r="B9" s="8"/>
      <c r="C9" s="7"/>
      <c r="D9" s="7"/>
      <c r="E9" s="7"/>
      <c r="F9" s="7"/>
      <c r="G9" s="7"/>
      <c r="H9" s="10"/>
      <c r="I9" s="10"/>
      <c r="J9" s="7"/>
      <c r="K9" s="1"/>
    </row>
    <row r="10" spans="1:11" ht="12.75">
      <c r="A10" s="37" t="s">
        <v>13</v>
      </c>
      <c r="B10" s="38" t="s">
        <v>47</v>
      </c>
      <c r="C10" s="61" t="s">
        <v>9</v>
      </c>
      <c r="D10" s="39" t="s">
        <v>14</v>
      </c>
      <c r="E10" s="39" t="s">
        <v>9</v>
      </c>
      <c r="F10" s="39" t="s">
        <v>11</v>
      </c>
      <c r="G10" s="39" t="s">
        <v>12</v>
      </c>
      <c r="H10" s="40" t="s">
        <v>30</v>
      </c>
      <c r="I10" s="41" t="s">
        <v>10</v>
      </c>
      <c r="J10" s="42" t="s">
        <v>34</v>
      </c>
      <c r="K10" s="5"/>
    </row>
    <row r="11" spans="1:11" ht="12.75">
      <c r="A11" s="44" t="s">
        <v>15</v>
      </c>
      <c r="B11" s="44"/>
      <c r="C11" s="56"/>
      <c r="D11" s="46">
        <v>10000</v>
      </c>
      <c r="E11" s="57"/>
      <c r="F11" s="46">
        <v>470000</v>
      </c>
      <c r="G11" s="47">
        <f>$J$2*(I11+1)</f>
        <v>3.285081585081585E-12</v>
      </c>
      <c r="H11" s="111">
        <f>$G$2/($I$2+1)</f>
        <v>618.8118811881188</v>
      </c>
      <c r="I11" s="48">
        <f>$I$2*D11/($G$2+($I$2+1)*D11)</f>
        <v>0.9324009324009324</v>
      </c>
      <c r="J11" s="49">
        <f>20*LOG(I11)</f>
        <v>-0.6079460171352375</v>
      </c>
      <c r="K11" s="5"/>
    </row>
    <row r="12" spans="1:11" ht="12.75">
      <c r="A12" s="50"/>
      <c r="B12" s="51"/>
      <c r="C12" s="53" t="s">
        <v>35</v>
      </c>
      <c r="D12" s="52"/>
      <c r="E12" s="52"/>
      <c r="F12" s="52"/>
      <c r="G12" s="58"/>
      <c r="H12" s="54"/>
      <c r="I12" s="54"/>
      <c r="J12" s="55"/>
      <c r="K12" s="5"/>
    </row>
    <row r="13" spans="1:11" ht="12.75">
      <c r="A13" s="7"/>
      <c r="B13" s="8"/>
      <c r="C13" s="7"/>
      <c r="D13" s="7"/>
      <c r="E13" s="7"/>
      <c r="F13" s="7"/>
      <c r="G13" s="7"/>
      <c r="H13" s="10"/>
      <c r="I13" s="10"/>
      <c r="J13" s="7"/>
      <c r="K13" s="1"/>
    </row>
    <row r="14" spans="1:11" ht="12.75">
      <c r="A14" s="15" t="s">
        <v>16</v>
      </c>
      <c r="B14" s="16" t="s">
        <v>47</v>
      </c>
      <c r="C14" s="16" t="s">
        <v>58</v>
      </c>
      <c r="D14" s="17" t="s">
        <v>8</v>
      </c>
      <c r="E14" s="17" t="s">
        <v>17</v>
      </c>
      <c r="F14" s="17" t="s">
        <v>11</v>
      </c>
      <c r="G14" s="17" t="s">
        <v>12</v>
      </c>
      <c r="H14" s="18" t="s">
        <v>30</v>
      </c>
      <c r="I14" s="19" t="s">
        <v>10</v>
      </c>
      <c r="J14" s="20" t="s">
        <v>34</v>
      </c>
      <c r="K14" s="5"/>
    </row>
    <row r="15" spans="1:11" ht="12.75">
      <c r="A15" s="34" t="s">
        <v>18</v>
      </c>
      <c r="B15" s="35"/>
      <c r="C15" s="36">
        <f>$G$2+($I$2+1)*E15</f>
        <v>395800</v>
      </c>
      <c r="D15" s="22">
        <v>0</v>
      </c>
      <c r="E15" s="22">
        <v>3300</v>
      </c>
      <c r="F15" s="22">
        <v>470000</v>
      </c>
      <c r="G15" s="24">
        <f>$J$2*(I15+1)</f>
        <v>1.485164957451451E-10</v>
      </c>
      <c r="H15" s="25">
        <f>(($G$2+($I$2+1)*D15)*($G$2+($I$2+1)*E15))/(($G$2+($I$2+1)*D15)+($G$2+($I$2+1)*E15))</f>
        <v>53976.65284747982</v>
      </c>
      <c r="I15" s="25">
        <f>$I$2*C15/(C15+$G$2+($I$2+1)*D15)</f>
        <v>86.3626445559677</v>
      </c>
      <c r="J15" s="26">
        <f>20*LOG(I15)</f>
        <v>38.726518652511814</v>
      </c>
      <c r="K15" s="5"/>
    </row>
    <row r="16" spans="1:11" ht="12.75">
      <c r="A16" s="27"/>
      <c r="B16" s="28"/>
      <c r="C16" s="29"/>
      <c r="D16" s="30" t="s">
        <v>31</v>
      </c>
      <c r="E16" s="29"/>
      <c r="F16" s="29"/>
      <c r="G16" s="29"/>
      <c r="H16" s="32"/>
      <c r="I16" s="32"/>
      <c r="J16" s="33"/>
      <c r="K16" s="5"/>
    </row>
    <row r="17" spans="1:11" ht="12.75">
      <c r="A17" s="7"/>
      <c r="B17" s="8"/>
      <c r="C17" s="7"/>
      <c r="D17" s="7"/>
      <c r="E17" s="7"/>
      <c r="F17" s="7"/>
      <c r="G17" s="7"/>
      <c r="H17" s="10"/>
      <c r="I17" s="10"/>
      <c r="J17" s="7"/>
      <c r="K17" s="1"/>
    </row>
    <row r="18" spans="1:11" ht="12.75">
      <c r="A18" s="37" t="s">
        <v>16</v>
      </c>
      <c r="B18" s="38" t="s">
        <v>47</v>
      </c>
      <c r="C18" s="38" t="s">
        <v>58</v>
      </c>
      <c r="D18" s="39" t="s">
        <v>8</v>
      </c>
      <c r="E18" s="39" t="s">
        <v>17</v>
      </c>
      <c r="F18" s="39" t="s">
        <v>11</v>
      </c>
      <c r="G18" s="39" t="s">
        <v>12</v>
      </c>
      <c r="H18" s="40" t="s">
        <v>30</v>
      </c>
      <c r="I18" s="41" t="s">
        <v>10</v>
      </c>
      <c r="J18" s="42" t="s">
        <v>34</v>
      </c>
      <c r="K18" s="5"/>
    </row>
    <row r="19" spans="1:11" ht="12.75">
      <c r="A19" s="43" t="s">
        <v>19</v>
      </c>
      <c r="B19" s="44"/>
      <c r="C19" s="45">
        <f>$G$2+$I$2*E19</f>
        <v>392500</v>
      </c>
      <c r="D19" s="46">
        <v>0</v>
      </c>
      <c r="E19" s="46">
        <v>3300</v>
      </c>
      <c r="F19" s="46">
        <v>470000</v>
      </c>
      <c r="G19" s="47">
        <f>$J$2*(I19+1)</f>
        <v>1.4729240672048876E-10</v>
      </c>
      <c r="H19" s="48">
        <f>$G$2*($G$2+(($I$2+1)*D19)+E19)/(2*$G$2+(($I$2+1)*(D19+E19)))</f>
        <v>8973.379882173249</v>
      </c>
      <c r="I19" s="48">
        <f>$I$2*($G$2+$I$2*E19)/(2*$G$2+($I$2+1)*(D19+E19))</f>
        <v>85.6425921885228</v>
      </c>
      <c r="J19" s="49">
        <f>20*LOG(I19)</f>
        <v>38.6537960767297</v>
      </c>
      <c r="K19" s="5"/>
    </row>
    <row r="20" spans="1:11" ht="12.75">
      <c r="A20" s="50"/>
      <c r="B20" s="51"/>
      <c r="C20" s="52"/>
      <c r="D20" s="53" t="s">
        <v>31</v>
      </c>
      <c r="E20" s="52"/>
      <c r="F20" s="52"/>
      <c r="G20" s="52"/>
      <c r="H20" s="54"/>
      <c r="I20" s="54"/>
      <c r="J20" s="55"/>
      <c r="K20" s="5"/>
    </row>
    <row r="21" spans="1:11" ht="12.75">
      <c r="A21" s="7"/>
      <c r="B21" s="7"/>
      <c r="C21" s="7"/>
      <c r="D21" s="7"/>
      <c r="E21" s="7"/>
      <c r="F21" s="7"/>
      <c r="G21" s="7"/>
      <c r="H21" s="10"/>
      <c r="I21" s="10"/>
      <c r="J21" s="7"/>
      <c r="K21" s="1"/>
    </row>
    <row r="22" spans="1:11" ht="12.75">
      <c r="A22" s="15" t="s">
        <v>20</v>
      </c>
      <c r="B22" s="16" t="s">
        <v>47</v>
      </c>
      <c r="C22" s="16" t="s">
        <v>58</v>
      </c>
      <c r="D22" s="17" t="s">
        <v>8</v>
      </c>
      <c r="E22" s="17" t="s">
        <v>21</v>
      </c>
      <c r="F22" s="17" t="s">
        <v>11</v>
      </c>
      <c r="G22" s="17" t="s">
        <v>12</v>
      </c>
      <c r="H22" s="18" t="s">
        <v>30</v>
      </c>
      <c r="I22" s="19" t="s">
        <v>10</v>
      </c>
      <c r="J22" s="20" t="s">
        <v>34</v>
      </c>
      <c r="K22" s="5"/>
    </row>
    <row r="23" spans="1:11" ht="12.75">
      <c r="A23" s="34"/>
      <c r="B23" s="35"/>
      <c r="C23" s="36">
        <f>$G$2+$I$2*E23</f>
        <v>4830500</v>
      </c>
      <c r="D23" s="22">
        <v>0</v>
      </c>
      <c r="E23" s="22">
        <f>47000+680</f>
        <v>47680</v>
      </c>
      <c r="F23" s="22">
        <v>470000</v>
      </c>
      <c r="G23" s="24">
        <f>$J$2*(I23+1)</f>
        <v>1.6790890241829062E-10</v>
      </c>
      <c r="H23" s="25">
        <f>$G$2*($G$2+(($I$2+1)*D23)+E23)/(2*$G$2+(($I$2+1)*(D23+E23)))</f>
        <v>1393.785875628456</v>
      </c>
      <c r="I23" s="25">
        <f>$I$2*($G$2+$I$2*E23)/(2*$G$2+($I$2+1)*(D23+E23))</f>
        <v>97.76994259899448</v>
      </c>
      <c r="J23" s="26">
        <f>20*LOG(I23)</f>
        <v>39.80410720418764</v>
      </c>
      <c r="K23" s="5"/>
    </row>
    <row r="24" spans="1:11" ht="12.75">
      <c r="A24" s="27"/>
      <c r="B24" s="28"/>
      <c r="C24" s="29"/>
      <c r="D24" s="30" t="s">
        <v>31</v>
      </c>
      <c r="E24" s="29"/>
      <c r="F24" s="29"/>
      <c r="G24" s="29"/>
      <c r="H24" s="32"/>
      <c r="I24" s="32"/>
      <c r="J24" s="33"/>
      <c r="K24" s="5"/>
    </row>
    <row r="25" spans="1:11" ht="12.75">
      <c r="A25" s="6"/>
      <c r="B25" s="6"/>
      <c r="C25" s="11"/>
      <c r="D25" s="6"/>
      <c r="E25" s="6"/>
      <c r="F25" s="6"/>
      <c r="G25" s="6"/>
      <c r="H25" s="6"/>
      <c r="I25" s="6"/>
      <c r="J25" s="6"/>
      <c r="K25" s="1"/>
    </row>
    <row r="26" spans="3:11" ht="12.75">
      <c r="C26"/>
      <c r="D26" s="1"/>
      <c r="E26" s="1"/>
      <c r="F26" s="1"/>
      <c r="G26" s="1"/>
      <c r="H26" s="1"/>
      <c r="I26" s="1"/>
      <c r="J26" s="1"/>
      <c r="K26" s="1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8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0" style="0" hidden="1" customWidth="1"/>
    <col min="6" max="6" width="9.28125" style="0" customWidth="1"/>
    <col min="7" max="7" width="7.421875" style="0" customWidth="1"/>
    <col min="8" max="8" width="10.7109375" style="0" customWidth="1"/>
    <col min="9" max="9" width="10.00390625" style="0" customWidth="1"/>
    <col min="10" max="10" width="8.57421875" style="0" customWidth="1"/>
  </cols>
  <sheetData>
    <row r="1" spans="1:12" ht="12.75">
      <c r="A1" s="4" t="s">
        <v>69</v>
      </c>
      <c r="B1" s="93">
        <v>3</v>
      </c>
      <c r="C1" s="103"/>
      <c r="D1" s="100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102" t="str">
        <f>INDEX(Data!$A$2:$A$116,$B$1)</f>
        <v>12AX7</v>
      </c>
      <c r="C2" s="100"/>
      <c r="D2" s="104"/>
      <c r="E2" s="88" t="str">
        <f>VLOOKUP($B2,Data!$A$1:$Q118,1,TRUE)</f>
        <v>12AX7</v>
      </c>
      <c r="F2" s="4">
        <f>VLOOKUP($B2,Data!$A$1:$Q118,3,TRUE)</f>
        <v>250</v>
      </c>
      <c r="G2" s="4">
        <f>VLOOKUP($B2,Data!$A$1:$Q118,4,TRUE)</f>
        <v>-2</v>
      </c>
      <c r="H2" s="4">
        <f>VLOOKUP($B2,Data!$A$1:$Q118,5,TRUE)</f>
        <v>0.0012000000000000001</v>
      </c>
      <c r="I2" s="4">
        <f>VLOOKUP($B2,Data!$A$1:$Q118,6,TRUE)</f>
        <v>62500</v>
      </c>
      <c r="J2" s="4">
        <f>VLOOKUP($B2,Data!$A$1:$Q118,7,TRUE)</f>
        <v>1.6</v>
      </c>
      <c r="K2" s="4">
        <f>VLOOKUP($B2,Data!$A$1:$Q118,8,TRUE)</f>
        <v>100</v>
      </c>
      <c r="L2" s="4">
        <f>VLOOKUP($B2,Data!$A$1:$Q118,10,TRUE)</f>
        <v>1.7E-12</v>
      </c>
    </row>
    <row r="5" spans="1:3" ht="12.75">
      <c r="A5" s="9"/>
      <c r="C5" s="9"/>
    </row>
    <row r="7" spans="3:6" ht="12.75">
      <c r="C7" s="13"/>
      <c r="D7" s="13"/>
      <c r="E7" s="13"/>
      <c r="F7" s="12"/>
    </row>
    <row r="8" spans="1:6" ht="12.75">
      <c r="A8" s="91" t="s">
        <v>47</v>
      </c>
      <c r="B8" s="113" t="s">
        <v>73</v>
      </c>
      <c r="C8" s="13"/>
      <c r="D8" s="13"/>
      <c r="E8" s="13"/>
      <c r="F8" s="14"/>
    </row>
    <row r="9" spans="1:3" ht="12.75">
      <c r="A9" s="86"/>
      <c r="B9" s="86" t="s">
        <v>72</v>
      </c>
      <c r="C9" s="9"/>
    </row>
    <row r="10" spans="1:2" ht="12.75">
      <c r="A10" s="86"/>
      <c r="B10" s="86"/>
    </row>
    <row r="11" spans="1:2" ht="12.75">
      <c r="A11" s="80" t="s">
        <v>11</v>
      </c>
      <c r="B11" s="163">
        <v>470000</v>
      </c>
    </row>
    <row r="12" spans="1:2" ht="12.75">
      <c r="A12" s="80" t="s">
        <v>8</v>
      </c>
      <c r="B12" s="163">
        <v>0</v>
      </c>
    </row>
    <row r="13" spans="1:2" ht="12.75">
      <c r="A13" s="81" t="s">
        <v>29</v>
      </c>
      <c r="B13" s="163">
        <v>150000</v>
      </c>
    </row>
    <row r="14" spans="1:2" ht="12.75">
      <c r="A14" s="105"/>
      <c r="B14" s="114"/>
    </row>
    <row r="15" spans="1:2" ht="12.75">
      <c r="A15" s="82" t="s">
        <v>30</v>
      </c>
      <c r="B15" s="164">
        <f>($B13*($I$2+($K$2+1)*$B12))/($I$2+B13+($K$2+1)*$B12)</f>
        <v>44117.64705882353</v>
      </c>
    </row>
    <row r="16" spans="1:2" ht="12.75">
      <c r="A16" s="80" t="s">
        <v>10</v>
      </c>
      <c r="B16" s="164">
        <f>$K$2*B13/(B13+$I$2)</f>
        <v>70.58823529411765</v>
      </c>
    </row>
    <row r="17" spans="1:2" ht="12.75">
      <c r="A17" s="84" t="s">
        <v>34</v>
      </c>
      <c r="B17" s="165">
        <f>20*LOG(B16)</f>
        <v>36.97464649338702</v>
      </c>
    </row>
    <row r="18" spans="1:2" ht="12.75">
      <c r="A18" s="85" t="s">
        <v>12</v>
      </c>
      <c r="B18" s="115">
        <f>$L$2*(B16+1)</f>
        <v>1.217E-10</v>
      </c>
    </row>
  </sheetData>
  <printOptions/>
  <pageMargins left="0.75" right="0.75" top="1" bottom="1" header="0.5" footer="0.5"/>
  <pageSetup horizontalDpi="360" verticalDpi="36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12.140625" style="0" customWidth="1"/>
    <col min="3" max="3" width="0" style="0" hidden="1" customWidth="1"/>
  </cols>
  <sheetData>
    <row r="1" spans="1:14" ht="12.75">
      <c r="A1" s="4" t="s">
        <v>62</v>
      </c>
      <c r="B1" s="93">
        <v>6</v>
      </c>
      <c r="C1" s="108"/>
      <c r="D1" s="109"/>
      <c r="E1" s="110" t="s">
        <v>42</v>
      </c>
      <c r="F1" s="64" t="s">
        <v>0</v>
      </c>
      <c r="G1" s="64" t="s">
        <v>1</v>
      </c>
      <c r="H1" s="64" t="s">
        <v>2</v>
      </c>
      <c r="I1" s="64" t="s">
        <v>3</v>
      </c>
      <c r="J1" s="64" t="s">
        <v>4</v>
      </c>
      <c r="K1" s="64" t="s">
        <v>5</v>
      </c>
      <c r="L1" s="64" t="s">
        <v>6</v>
      </c>
      <c r="M1" s="108"/>
      <c r="N1" s="13"/>
    </row>
    <row r="2" spans="1:14" ht="12.75">
      <c r="A2" s="92" t="s">
        <v>46</v>
      </c>
      <c r="B2" s="98" t="str">
        <f>INDEX(Data!$A$2:$A$115,$B$1)</f>
        <v>1G4gt</v>
      </c>
      <c r="C2" s="95"/>
      <c r="D2" s="166"/>
      <c r="E2" s="166" t="str">
        <f>VLOOKUP($B2,Data!$A$1:$Q118,1,TRUE)</f>
        <v>1G4gt</v>
      </c>
      <c r="F2" s="108">
        <f>VLOOKUP($B2,Data!$A$1:$Q118,3,TRUE)</f>
        <v>90</v>
      </c>
      <c r="G2" s="108">
        <f>VLOOKUP($B2,Data!$A$1:$Q118,4,TRUE)</f>
        <v>-6</v>
      </c>
      <c r="H2" s="108">
        <f>VLOOKUP($B2,Data!$A$1:$Q118,5,TRUE)</f>
        <v>0.0023</v>
      </c>
      <c r="I2" s="108">
        <f>VLOOKUP($B2,Data!$A$1:$Q118,6,TRUE)</f>
        <v>10700</v>
      </c>
      <c r="J2" s="108">
        <f>VLOOKUP($B2,Data!$A$1:$Q118,7,TRUE)</f>
        <v>0.825</v>
      </c>
      <c r="K2" s="108">
        <f>VLOOKUP($B2,Data!$A$1:$Q118,8,TRUE)</f>
        <v>8.8</v>
      </c>
      <c r="L2" s="108">
        <f>VLOOKUP($B2,Data!$A$1:$Q118,10,TRUE)</f>
        <v>2.8E-12</v>
      </c>
      <c r="M2" s="108"/>
      <c r="N2" s="13"/>
    </row>
    <row r="3" spans="1:4" ht="12.75">
      <c r="A3" s="96"/>
      <c r="B3" s="63"/>
      <c r="C3" s="97"/>
      <c r="D3" s="13"/>
    </row>
    <row r="4" spans="1:4" ht="12.75">
      <c r="A4" s="97"/>
      <c r="B4" s="97"/>
      <c r="C4" s="97"/>
      <c r="D4" s="13"/>
    </row>
    <row r="5" spans="1:4" ht="12.75">
      <c r="A5" s="13"/>
      <c r="B5" s="13"/>
      <c r="C5" s="13"/>
      <c r="D5" s="13"/>
    </row>
    <row r="6" spans="1:4" ht="12.75">
      <c r="A6" s="13"/>
      <c r="B6" s="13"/>
      <c r="C6" s="13"/>
      <c r="D6" s="13"/>
    </row>
    <row r="11" spans="1:2" ht="12.75" customHeight="1">
      <c r="A11" s="91" t="s">
        <v>47</v>
      </c>
      <c r="B11" s="89" t="s">
        <v>72</v>
      </c>
    </row>
    <row r="12" spans="1:2" ht="12.75">
      <c r="A12" s="86"/>
      <c r="B12" s="87" t="s">
        <v>71</v>
      </c>
    </row>
    <row r="13" spans="1:2" ht="12.75">
      <c r="A13" s="86"/>
      <c r="B13" s="87"/>
    </row>
    <row r="14" spans="1:2" ht="12.75">
      <c r="A14" s="80" t="s">
        <v>11</v>
      </c>
      <c r="B14" s="167">
        <v>470000</v>
      </c>
    </row>
    <row r="15" spans="1:2" ht="12.75">
      <c r="A15" s="80" t="s">
        <v>8</v>
      </c>
      <c r="B15" s="167">
        <v>490</v>
      </c>
    </row>
    <row r="16" spans="1:2" ht="12.75">
      <c r="A16" s="81" t="s">
        <v>29</v>
      </c>
      <c r="B16" s="170" t="s">
        <v>56</v>
      </c>
    </row>
    <row r="17" spans="1:2" ht="12.75">
      <c r="A17" s="81"/>
      <c r="B17" s="70"/>
    </row>
    <row r="18" spans="1:2" ht="12.75">
      <c r="A18" s="82" t="s">
        <v>30</v>
      </c>
      <c r="B18" s="73">
        <f>$I$2/($K$2+1)</f>
        <v>1091.8367346938774</v>
      </c>
    </row>
    <row r="19" spans="1:2" ht="12.75">
      <c r="A19" s="80" t="s">
        <v>10</v>
      </c>
      <c r="B19" s="73">
        <f>$K$2*B15/($I$2+($K$2+1)*B15)</f>
        <v>0.27815765707650625</v>
      </c>
    </row>
    <row r="20" spans="1:2" ht="12.75">
      <c r="A20" s="84" t="s">
        <v>34</v>
      </c>
      <c r="B20" s="76">
        <f>20*LOG(B19)</f>
        <v>-11.114179607484608</v>
      </c>
    </row>
    <row r="21" spans="1:2" ht="12.75">
      <c r="A21" s="85" t="s">
        <v>12</v>
      </c>
      <c r="B21" s="78">
        <f>$L$2*(B19+1)</f>
        <v>3.578841439814218E-12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2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2.421875" style="0" customWidth="1"/>
    <col min="3" max="3" width="0" style="0" hidden="1" customWidth="1"/>
  </cols>
  <sheetData>
    <row r="1" spans="1:12" ht="12.75">
      <c r="A1" s="59" t="s">
        <v>53</v>
      </c>
      <c r="B1" s="93">
        <v>3</v>
      </c>
      <c r="C1" s="93"/>
      <c r="D1" s="93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94" t="str">
        <f>INDEX(Data!$A$2:$A$116,$B$1)</f>
        <v>12AX7</v>
      </c>
      <c r="C2" s="101"/>
      <c r="D2" s="101"/>
      <c r="E2" s="88" t="str">
        <f>VLOOKUP($B2,Data!$A$1:$Q118,1,TRUE)</f>
        <v>12AX7</v>
      </c>
      <c r="F2" s="4">
        <f>VLOOKUP($B2,Data!$A$1:$Q118,3,TRUE)</f>
        <v>250</v>
      </c>
      <c r="G2" s="4">
        <f>VLOOKUP($B2,Data!$A$1:$Q118,4,TRUE)</f>
        <v>-2</v>
      </c>
      <c r="H2" s="4">
        <f>VLOOKUP($B2,Data!$A$1:$Q118,5,TRUE)</f>
        <v>0.0012000000000000001</v>
      </c>
      <c r="I2" s="4">
        <f>VLOOKUP($B2,Data!$A$1:$Q118,6,TRUE)</f>
        <v>62500</v>
      </c>
      <c r="J2" s="4">
        <f>VLOOKUP($B2,Data!$A$1:$Q118,7,TRUE)</f>
        <v>1.6</v>
      </c>
      <c r="K2" s="4">
        <f>VLOOKUP($B2,Data!$A$1:$Q118,8,TRUE)</f>
        <v>100</v>
      </c>
      <c r="L2" s="4">
        <f>VLOOKUP($B2,Data!$A$1:$Q118,10,TRUE)</f>
        <v>1.7E-12</v>
      </c>
    </row>
    <row r="9" spans="1:2" ht="12.75">
      <c r="A9" s="65" t="s">
        <v>16</v>
      </c>
      <c r="B9" s="66" t="s">
        <v>47</v>
      </c>
    </row>
    <row r="10" spans="1:2" ht="12.75">
      <c r="A10" s="67" t="s">
        <v>18</v>
      </c>
      <c r="B10" s="68"/>
    </row>
    <row r="11" spans="1:2" ht="12.75">
      <c r="A11" s="67"/>
      <c r="B11" s="68"/>
    </row>
    <row r="12" spans="1:2" ht="12.75">
      <c r="A12" s="69" t="s">
        <v>11</v>
      </c>
      <c r="B12" s="167">
        <v>470000</v>
      </c>
    </row>
    <row r="13" spans="1:2" ht="12.75">
      <c r="A13" s="69" t="s">
        <v>8</v>
      </c>
      <c r="B13" s="167">
        <v>0</v>
      </c>
    </row>
    <row r="14" spans="1:11" ht="12.75">
      <c r="A14" s="69" t="s">
        <v>17</v>
      </c>
      <c r="B14" s="167">
        <v>1200</v>
      </c>
      <c r="K14" s="5"/>
    </row>
    <row r="15" spans="1:11" ht="12.75">
      <c r="A15" s="71" t="s">
        <v>58</v>
      </c>
      <c r="B15" s="169">
        <f>$I$2+($K$2+1)*B14</f>
        <v>183700</v>
      </c>
      <c r="K15" s="5"/>
    </row>
    <row r="16" spans="1:11" ht="12.75">
      <c r="A16" s="90"/>
      <c r="B16" s="87"/>
      <c r="K16" s="5"/>
    </row>
    <row r="17" spans="1:2" ht="12.75">
      <c r="A17" s="72" t="s">
        <v>30</v>
      </c>
      <c r="B17" s="171">
        <f>(($I$2+($K$2+1)*B13)*($I$2+($K$2+1)*B14))/(($I$2+($K$2+1)*B13)+($I$2+($K$2+1)*B14))</f>
        <v>46633.8342810723</v>
      </c>
    </row>
    <row r="18" spans="1:2" ht="12.75">
      <c r="A18" s="74" t="s">
        <v>10</v>
      </c>
      <c r="B18" s="171">
        <f>$K$2*B15/(B15+$I$2+($K$2+1)*B13)</f>
        <v>74.61413484971568</v>
      </c>
    </row>
    <row r="19" spans="1:2" ht="12.75">
      <c r="A19" s="75" t="s">
        <v>34</v>
      </c>
      <c r="B19" s="172">
        <f>20*LOG(B18)</f>
        <v>37.456422154210216</v>
      </c>
    </row>
    <row r="20" spans="1:2" ht="12.75">
      <c r="A20" s="77" t="s">
        <v>12</v>
      </c>
      <c r="B20" s="78">
        <f>$L$2*(B18+1)</f>
        <v>1.2854402924451665E-10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0"/>
  <sheetViews>
    <sheetView showGridLines="0" tabSelected="1" workbookViewId="0" topLeftCell="A1">
      <selection activeCell="B17" sqref="B17"/>
    </sheetView>
  </sheetViews>
  <sheetFormatPr defaultColWidth="9.140625" defaultRowHeight="12.75"/>
  <sheetData>
    <row r="1" spans="1:12" ht="12.75">
      <c r="A1" s="59" t="s">
        <v>53</v>
      </c>
      <c r="B1" s="93">
        <v>3</v>
      </c>
      <c r="C1" s="93"/>
      <c r="D1" s="93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94" t="str">
        <f>INDEX(Data!$A$2:$A$116,$B$1)</f>
        <v>12AX7</v>
      </c>
      <c r="C2" s="101"/>
      <c r="D2" s="101"/>
      <c r="E2" s="88" t="str">
        <f>VLOOKUP($B2,Data!$A$1:$Q118,1,TRUE)</f>
        <v>12AX7</v>
      </c>
      <c r="F2" s="4">
        <f>VLOOKUP($B2,Data!$A$1:$Q118,3,TRUE)</f>
        <v>250</v>
      </c>
      <c r="G2" s="4">
        <f>VLOOKUP($B2,Data!$A$1:$Q118,4,TRUE)</f>
        <v>-2</v>
      </c>
      <c r="H2" s="4">
        <f>VLOOKUP($B2,Data!$A$1:$Q118,5,TRUE)</f>
        <v>0.0012000000000000001</v>
      </c>
      <c r="I2" s="4">
        <f>VLOOKUP($B2,Data!$A$1:$Q118,6,TRUE)</f>
        <v>62500</v>
      </c>
      <c r="J2" s="4">
        <f>VLOOKUP($B2,Data!$A$1:$Q118,7,TRUE)</f>
        <v>1.6</v>
      </c>
      <c r="K2" s="4">
        <f>VLOOKUP($B2,Data!$A$1:$Q118,8,TRUE)</f>
        <v>100</v>
      </c>
      <c r="L2" s="4">
        <f>VLOOKUP($B2,Data!$A$1:$Q118,10,TRUE)</f>
        <v>1.7E-12</v>
      </c>
    </row>
    <row r="9" spans="1:2" ht="12.75">
      <c r="A9" s="65" t="s">
        <v>16</v>
      </c>
      <c r="B9" s="66" t="s">
        <v>47</v>
      </c>
    </row>
    <row r="10" spans="1:2" ht="12.75">
      <c r="A10" s="67" t="s">
        <v>18</v>
      </c>
      <c r="B10" s="68"/>
    </row>
    <row r="11" spans="1:2" ht="12.75">
      <c r="A11" s="67"/>
      <c r="B11" s="68"/>
    </row>
    <row r="12" spans="1:2" ht="12.75">
      <c r="A12" s="69" t="s">
        <v>11</v>
      </c>
      <c r="B12" s="167">
        <v>470000</v>
      </c>
    </row>
    <row r="13" spans="1:2" ht="12.75">
      <c r="A13" s="71" t="s">
        <v>14</v>
      </c>
      <c r="B13" s="167">
        <v>0</v>
      </c>
    </row>
    <row r="14" spans="1:11" ht="12.75">
      <c r="A14" s="71" t="s">
        <v>29</v>
      </c>
      <c r="B14" s="167">
        <v>1200</v>
      </c>
      <c r="K14" s="5"/>
    </row>
    <row r="15" spans="1:11" ht="12.75">
      <c r="A15" s="71" t="s">
        <v>58</v>
      </c>
      <c r="B15" s="169">
        <f>$I$2+($K$2+1)*B14</f>
        <v>183700</v>
      </c>
      <c r="K15" s="5"/>
    </row>
    <row r="16" spans="1:11" ht="12.75">
      <c r="A16" s="90"/>
      <c r="B16" s="87"/>
      <c r="K16" s="5"/>
    </row>
    <row r="17" spans="1:2" ht="12.75">
      <c r="A17" s="72" t="s">
        <v>30</v>
      </c>
      <c r="B17" s="171">
        <f>(($B$14+$I$2)*($I$2+($K$2+1)*$B$13))/($B$14+$I$2+$I$2+($K$2+1)*$B$13)</f>
        <v>31547.14738510301</v>
      </c>
    </row>
    <row r="18" spans="1:2" ht="12.75">
      <c r="A18" s="74" t="s">
        <v>10</v>
      </c>
      <c r="B18" s="171">
        <f>($K$2*($B$14+$I$2))/($I$2+$B$14+$I$2+($K$2+1)*B13)</f>
        <v>50.47543581616482</v>
      </c>
    </row>
    <row r="19" spans="1:2" ht="12.75">
      <c r="A19" s="75" t="s">
        <v>34</v>
      </c>
      <c r="B19" s="172">
        <f>20*LOG(B18)</f>
        <v>34.0616015485447</v>
      </c>
    </row>
    <row r="20" spans="1:2" ht="12.75">
      <c r="A20" s="77" t="s">
        <v>12</v>
      </c>
      <c r="B20" s="78">
        <f>$L$2*(B18+1)</f>
        <v>8.750824088748019E-11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L20"/>
  <sheetViews>
    <sheetView showGridLines="0" workbookViewId="0" topLeftCell="A1">
      <selection activeCell="B17" sqref="B17:B19"/>
    </sheetView>
  </sheetViews>
  <sheetFormatPr defaultColWidth="9.140625" defaultRowHeight="12.75"/>
  <cols>
    <col min="1" max="1" width="9.28125" style="0" customWidth="1"/>
    <col min="2" max="2" width="12.140625" style="0" customWidth="1"/>
  </cols>
  <sheetData>
    <row r="1" spans="1:12" ht="12.75">
      <c r="A1" s="59" t="s">
        <v>53</v>
      </c>
      <c r="B1" s="93">
        <v>10</v>
      </c>
      <c r="C1" s="4"/>
      <c r="D1" s="4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94" t="str">
        <f>INDEX(Data!$A$2:$A$116,$B$1)</f>
        <v>5755 (250v)</v>
      </c>
      <c r="C2" s="62"/>
      <c r="D2" s="62"/>
      <c r="E2" s="88" t="str">
        <f>VLOOKUP($B2,Data!$A$1:$Q118,1,TRUE)</f>
        <v>5751</v>
      </c>
      <c r="F2" s="4">
        <f>VLOOKUP($B2,Data!$A$1:$Q118,3,TRUE)</f>
        <v>250</v>
      </c>
      <c r="G2" s="4">
        <f>VLOOKUP($B2,Data!$A$1:$Q118,4,TRUE)</f>
        <v>-3</v>
      </c>
      <c r="H2" s="4">
        <f>VLOOKUP($B2,Data!$A$1:$Q118,5,TRUE)</f>
        <v>0.001</v>
      </c>
      <c r="I2" s="4">
        <f>VLOOKUP($B2,Data!$A$1:$Q118,6,TRUE)</f>
        <v>58000</v>
      </c>
      <c r="J2" s="4">
        <f>VLOOKUP($B2,Data!$A$1:$Q118,7,TRUE)</f>
        <v>1.2</v>
      </c>
      <c r="K2" s="4">
        <f>VLOOKUP($B2,Data!$A$1:$Q118,8,TRUE)</f>
        <v>69.6</v>
      </c>
      <c r="L2" s="4">
        <f>VLOOKUP($B2,Data!$A$1:$Q118,10,TRUE)</f>
        <v>1.4E-12</v>
      </c>
    </row>
    <row r="6" spans="1:2" ht="12.75">
      <c r="A6" s="7"/>
      <c r="B6" s="7"/>
    </row>
    <row r="7" spans="1:2" ht="12.75">
      <c r="A7" s="91" t="s">
        <v>47</v>
      </c>
      <c r="B7" s="66" t="s">
        <v>74</v>
      </c>
    </row>
    <row r="8" spans="1:2" ht="12.75">
      <c r="A8" s="79"/>
      <c r="B8" s="68"/>
    </row>
    <row r="9" spans="1:2" ht="12.75">
      <c r="A9" s="79"/>
      <c r="B9" s="68"/>
    </row>
    <row r="10" spans="1:2" ht="12.75">
      <c r="A10" s="80" t="s">
        <v>11</v>
      </c>
      <c r="B10" s="167">
        <v>470000</v>
      </c>
    </row>
    <row r="11" spans="1:2" ht="12.75">
      <c r="A11" s="80" t="s">
        <v>8</v>
      </c>
      <c r="B11" s="167">
        <v>0</v>
      </c>
    </row>
    <row r="12" spans="1:2" ht="12.75">
      <c r="A12" s="81" t="s">
        <v>59</v>
      </c>
      <c r="B12" s="167">
        <v>680</v>
      </c>
    </row>
    <row r="13" spans="1:2" ht="12.75">
      <c r="A13" s="81" t="s">
        <v>60</v>
      </c>
      <c r="B13" s="167">
        <v>47000</v>
      </c>
    </row>
    <row r="14" spans="1:2" ht="12.75">
      <c r="A14" s="81" t="s">
        <v>61</v>
      </c>
      <c r="B14" s="168">
        <f>B12+B13</f>
        <v>47680</v>
      </c>
    </row>
    <row r="15" spans="1:2" ht="12.75">
      <c r="A15" s="81" t="s">
        <v>58</v>
      </c>
      <c r="B15" s="169">
        <f>$I$2+$K$2*B14</f>
        <v>3376527.9999999995</v>
      </c>
    </row>
    <row r="16" spans="1:2" ht="12.75">
      <c r="A16" s="86"/>
      <c r="B16" s="87"/>
    </row>
    <row r="17" spans="1:2" ht="12.75">
      <c r="A17" s="82" t="s">
        <v>30</v>
      </c>
      <c r="B17" s="171">
        <f>$I$2*($I$2+(($K$2+1)*B11)+B14)/(2*$I$2+(($K$2+1)*(B11+B14)))</f>
        <v>1760.216506308641</v>
      </c>
    </row>
    <row r="18" spans="1:2" ht="12.75">
      <c r="A18" s="83" t="s">
        <v>10</v>
      </c>
      <c r="B18" s="171">
        <f>$K$2*($I$2+$K$2*B14)/(2*$I$2+($K$2+1)*(B11+B14))</f>
        <v>67.48774019242963</v>
      </c>
    </row>
    <row r="19" spans="1:2" ht="12.75">
      <c r="A19" s="84" t="s">
        <v>34</v>
      </c>
      <c r="B19" s="172">
        <f>20*LOG(B18)</f>
        <v>36.58449772318069</v>
      </c>
    </row>
    <row r="20" spans="1:2" ht="12.75">
      <c r="A20" s="85" t="s">
        <v>12</v>
      </c>
      <c r="B20" s="78">
        <f>$L$2*(B18+1)</f>
        <v>9.588283626940149E-11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P96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9" sqref="H39"/>
    </sheetView>
  </sheetViews>
  <sheetFormatPr defaultColWidth="9.140625" defaultRowHeight="12.75"/>
  <cols>
    <col min="1" max="1" width="11.7109375" style="152" customWidth="1"/>
    <col min="2" max="2" width="5.140625" style="152" bestFit="1" customWidth="1"/>
    <col min="3" max="3" width="4.421875" style="125" bestFit="1" customWidth="1"/>
    <col min="4" max="4" width="5.00390625" style="125" bestFit="1" customWidth="1"/>
    <col min="5" max="5" width="5.7109375" style="159" bestFit="1" customWidth="1"/>
    <col min="6" max="6" width="6.140625" style="125" bestFit="1" customWidth="1"/>
    <col min="7" max="7" width="5.28125" style="125" bestFit="1" customWidth="1"/>
    <col min="8" max="8" width="6.140625" style="125" bestFit="1" customWidth="1"/>
    <col min="9" max="9" width="5.00390625" style="125" customWidth="1"/>
    <col min="10" max="10" width="7.140625" style="155" bestFit="1" customWidth="1"/>
    <col min="11" max="12" width="7.140625" style="125" bestFit="1" customWidth="1"/>
    <col min="13" max="13" width="4.57421875" style="156" customWidth="1"/>
    <col min="14" max="14" width="5.7109375" style="157" customWidth="1"/>
    <col min="15" max="15" width="6.57421875" style="157" bestFit="1" customWidth="1"/>
    <col min="16" max="16" width="7.140625" style="133" bestFit="1" customWidth="1"/>
    <col min="17" max="17" width="17.140625" style="125" customWidth="1"/>
    <col min="18" max="224" width="11.421875" style="125" customWidth="1"/>
    <col min="225" max="16384" width="9.140625" style="125" customWidth="1"/>
  </cols>
  <sheetData>
    <row r="1" spans="1:18" ht="16.5" customHeight="1">
      <c r="A1" s="116" t="s">
        <v>63</v>
      </c>
      <c r="B1" s="116"/>
      <c r="C1" s="117" t="s">
        <v>0</v>
      </c>
      <c r="D1" s="117" t="s">
        <v>1</v>
      </c>
      <c r="E1" s="118" t="s">
        <v>2</v>
      </c>
      <c r="F1" s="117" t="s">
        <v>3</v>
      </c>
      <c r="G1" s="117" t="s">
        <v>4</v>
      </c>
      <c r="H1" s="117" t="s">
        <v>5</v>
      </c>
      <c r="I1" s="117" t="s">
        <v>102</v>
      </c>
      <c r="J1" s="119" t="s">
        <v>6</v>
      </c>
      <c r="K1" s="117" t="s">
        <v>82</v>
      </c>
      <c r="L1" s="117" t="s">
        <v>104</v>
      </c>
      <c r="M1" s="120" t="s">
        <v>95</v>
      </c>
      <c r="N1" s="121" t="s">
        <v>96</v>
      </c>
      <c r="O1" s="121" t="s">
        <v>41</v>
      </c>
      <c r="P1" s="122" t="s">
        <v>43</v>
      </c>
      <c r="Q1" s="123" t="s">
        <v>44</v>
      </c>
      <c r="R1" s="124" t="s">
        <v>57</v>
      </c>
    </row>
    <row r="2" spans="1:16" ht="11.25">
      <c r="A2" s="126" t="s">
        <v>79</v>
      </c>
      <c r="B2" s="126" t="s">
        <v>93</v>
      </c>
      <c r="C2" s="127">
        <v>250</v>
      </c>
      <c r="D2" s="127">
        <v>-2</v>
      </c>
      <c r="E2" s="128">
        <v>0.001</v>
      </c>
      <c r="F2" s="127">
        <v>11000</v>
      </c>
      <c r="G2" s="127">
        <v>5.5</v>
      </c>
      <c r="H2" s="127">
        <v>60.5</v>
      </c>
      <c r="I2" s="127"/>
      <c r="J2" s="129">
        <f>0.0000000000017</f>
        <v>1.7E-12</v>
      </c>
      <c r="K2" s="130"/>
      <c r="L2" s="130"/>
      <c r="M2" s="131" t="s">
        <v>100</v>
      </c>
      <c r="N2" s="132" t="s">
        <v>109</v>
      </c>
      <c r="O2" s="132">
        <f aca="true" t="shared" si="0" ref="O2:O20">IF(H2&gt;0,F2*G2/H2,"")</f>
        <v>1000</v>
      </c>
      <c r="P2" s="133" t="s">
        <v>79</v>
      </c>
    </row>
    <row r="3" spans="1:17" ht="11.25">
      <c r="A3" s="126" t="s">
        <v>99</v>
      </c>
      <c r="B3" s="126" t="s">
        <v>93</v>
      </c>
      <c r="C3" s="127">
        <v>150</v>
      </c>
      <c r="D3" s="127"/>
      <c r="E3" s="128">
        <v>0.018</v>
      </c>
      <c r="F3" s="127">
        <v>4800</v>
      </c>
      <c r="G3" s="127">
        <v>8.5</v>
      </c>
      <c r="H3" s="127">
        <v>40.8</v>
      </c>
      <c r="I3" s="127">
        <v>56</v>
      </c>
      <c r="J3" s="129">
        <v>1.9E-12</v>
      </c>
      <c r="K3" s="130">
        <v>3.2E-12</v>
      </c>
      <c r="L3" s="130">
        <v>1.3E-12</v>
      </c>
      <c r="M3" s="131" t="s">
        <v>100</v>
      </c>
      <c r="N3" s="132" t="s">
        <v>101</v>
      </c>
      <c r="O3" s="132">
        <f t="shared" si="0"/>
        <v>1000.0000000000001</v>
      </c>
      <c r="P3" s="133" t="s">
        <v>99</v>
      </c>
      <c r="Q3" s="134"/>
    </row>
    <row r="4" spans="1:17" ht="11.25">
      <c r="A4" s="126" t="s">
        <v>45</v>
      </c>
      <c r="B4" s="126" t="s">
        <v>93</v>
      </c>
      <c r="C4" s="127">
        <v>250</v>
      </c>
      <c r="D4" s="127">
        <v>-2</v>
      </c>
      <c r="E4" s="128">
        <v>0.0012000000000000001</v>
      </c>
      <c r="F4" s="127">
        <v>62500</v>
      </c>
      <c r="G4" s="127">
        <v>1.6</v>
      </c>
      <c r="H4" s="127">
        <v>100</v>
      </c>
      <c r="I4" s="127"/>
      <c r="J4" s="129">
        <f>0.0000000000017</f>
        <v>1.7E-12</v>
      </c>
      <c r="K4" s="130"/>
      <c r="L4" s="130"/>
      <c r="M4" s="131"/>
      <c r="N4" s="132"/>
      <c r="O4" s="132">
        <f t="shared" si="0"/>
        <v>1000</v>
      </c>
      <c r="P4" s="133" t="s">
        <v>45</v>
      </c>
      <c r="Q4" s="134"/>
    </row>
    <row r="5" spans="1:16" ht="11.25">
      <c r="A5" s="126" t="s">
        <v>23</v>
      </c>
      <c r="B5" s="126" t="s">
        <v>94</v>
      </c>
      <c r="C5" s="127">
        <v>250</v>
      </c>
      <c r="D5" s="127">
        <v>-2</v>
      </c>
      <c r="E5" s="128">
        <v>0.0023</v>
      </c>
      <c r="F5" s="127">
        <v>44000</v>
      </c>
      <c r="G5" s="127">
        <v>1.6</v>
      </c>
      <c r="H5" s="127">
        <v>70.4</v>
      </c>
      <c r="I5" s="127"/>
      <c r="J5" s="129">
        <f>0.0000000000035</f>
        <v>3.5E-12</v>
      </c>
      <c r="K5" s="130"/>
      <c r="L5" s="130"/>
      <c r="M5" s="131"/>
      <c r="N5" s="132"/>
      <c r="O5" s="132">
        <f t="shared" si="0"/>
        <v>999.9999999999999</v>
      </c>
      <c r="P5" s="135" t="s">
        <v>38</v>
      </c>
    </row>
    <row r="6" spans="1:224" ht="11.25">
      <c r="A6" s="126" t="s">
        <v>24</v>
      </c>
      <c r="B6" s="126" t="s">
        <v>94</v>
      </c>
      <c r="C6" s="127">
        <v>250</v>
      </c>
      <c r="D6" s="127">
        <v>-8</v>
      </c>
      <c r="E6" s="128">
        <v>0.009000000000000001</v>
      </c>
      <c r="F6" s="127">
        <v>7700</v>
      </c>
      <c r="G6" s="127">
        <v>2.6</v>
      </c>
      <c r="H6" s="127">
        <v>20.02</v>
      </c>
      <c r="I6" s="127"/>
      <c r="J6" s="129">
        <f>0.0000000000039</f>
        <v>3.9E-12</v>
      </c>
      <c r="K6" s="130">
        <v>2.9E-12</v>
      </c>
      <c r="L6" s="130">
        <v>1E-12</v>
      </c>
      <c r="M6" s="131"/>
      <c r="N6" s="132"/>
      <c r="O6" s="132">
        <f t="shared" si="0"/>
        <v>1000</v>
      </c>
      <c r="P6" s="135" t="s">
        <v>83</v>
      </c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</row>
    <row r="7" spans="1:15" ht="11.25">
      <c r="A7" s="126" t="s">
        <v>39</v>
      </c>
      <c r="B7" s="126" t="s">
        <v>94</v>
      </c>
      <c r="C7" s="127">
        <v>90</v>
      </c>
      <c r="D7" s="127">
        <v>-6</v>
      </c>
      <c r="E7" s="128">
        <v>0.0023</v>
      </c>
      <c r="F7" s="127">
        <v>10700</v>
      </c>
      <c r="G7" s="127">
        <v>0.825</v>
      </c>
      <c r="H7" s="127">
        <v>8.8</v>
      </c>
      <c r="I7" s="127"/>
      <c r="J7" s="129">
        <v>2.8E-12</v>
      </c>
      <c r="K7" s="130"/>
      <c r="L7" s="130"/>
      <c r="M7" s="131">
        <v>1.4</v>
      </c>
      <c r="N7" s="132">
        <v>0.05</v>
      </c>
      <c r="O7" s="132">
        <f t="shared" si="0"/>
        <v>1003.1249999999999</v>
      </c>
    </row>
    <row r="8" spans="1:15" ht="11.25">
      <c r="A8" s="126" t="s">
        <v>37</v>
      </c>
      <c r="B8" s="126" t="s">
        <v>94</v>
      </c>
      <c r="C8" s="127">
        <v>90</v>
      </c>
      <c r="D8" s="127">
        <v>0</v>
      </c>
      <c r="E8" s="128">
        <v>0.001</v>
      </c>
      <c r="F8" s="127">
        <v>45000</v>
      </c>
      <c r="G8" s="127">
        <v>0.675</v>
      </c>
      <c r="H8" s="127">
        <v>30</v>
      </c>
      <c r="I8" s="127"/>
      <c r="J8" s="129">
        <f>0.0000000000028</f>
        <v>2.8E-12</v>
      </c>
      <c r="K8" s="130"/>
      <c r="L8" s="130"/>
      <c r="M8" s="131">
        <v>1.4</v>
      </c>
      <c r="N8" s="132">
        <v>0.1</v>
      </c>
      <c r="O8" s="132">
        <f t="shared" si="0"/>
        <v>1012.5000000000001</v>
      </c>
    </row>
    <row r="9" spans="1:16" ht="11.25">
      <c r="A9" s="126" t="s">
        <v>22</v>
      </c>
      <c r="B9" s="126" t="s">
        <v>93</v>
      </c>
      <c r="C9" s="127">
        <v>250</v>
      </c>
      <c r="D9" s="127">
        <v>-3</v>
      </c>
      <c r="E9" s="128">
        <v>0.001</v>
      </c>
      <c r="F9" s="127">
        <v>58000</v>
      </c>
      <c r="G9" s="127">
        <v>1.2</v>
      </c>
      <c r="H9" s="127">
        <v>69.6</v>
      </c>
      <c r="I9" s="127"/>
      <c r="J9" s="129">
        <f>0.0000000000014</f>
        <v>1.4E-12</v>
      </c>
      <c r="K9" s="130"/>
      <c r="L9" s="130"/>
      <c r="M9" s="131"/>
      <c r="N9" s="132"/>
      <c r="O9" s="132">
        <f t="shared" si="0"/>
        <v>1000.0000000000001</v>
      </c>
      <c r="P9" s="133" t="s">
        <v>45</v>
      </c>
    </row>
    <row r="10" spans="1:17" ht="11.25">
      <c r="A10" s="137" t="s">
        <v>111</v>
      </c>
      <c r="B10" s="137" t="s">
        <v>93</v>
      </c>
      <c r="C10" s="138">
        <v>110</v>
      </c>
      <c r="D10" s="138">
        <v>-0.95</v>
      </c>
      <c r="E10" s="139">
        <v>0.015</v>
      </c>
      <c r="F10" s="138">
        <v>140000</v>
      </c>
      <c r="G10" s="138">
        <v>0.5</v>
      </c>
      <c r="H10" s="138">
        <v>70</v>
      </c>
      <c r="I10" s="138"/>
      <c r="J10" s="140">
        <f>0.0000000000014</f>
        <v>1.4E-12</v>
      </c>
      <c r="K10" s="141"/>
      <c r="L10" s="141"/>
      <c r="M10" s="142"/>
      <c r="N10" s="143"/>
      <c r="O10" s="132">
        <f t="shared" si="0"/>
        <v>1000</v>
      </c>
      <c r="P10" s="144"/>
      <c r="Q10" s="125" t="s">
        <v>36</v>
      </c>
    </row>
    <row r="11" spans="1:16" ht="11.25">
      <c r="A11" s="137" t="s">
        <v>110</v>
      </c>
      <c r="B11" s="137" t="s">
        <v>93</v>
      </c>
      <c r="C11" s="138">
        <v>250</v>
      </c>
      <c r="D11" s="138">
        <v>-2</v>
      </c>
      <c r="E11" s="139">
        <v>0.0023</v>
      </c>
      <c r="F11" s="138">
        <v>44000</v>
      </c>
      <c r="G11" s="138">
        <v>1.6</v>
      </c>
      <c r="H11" s="138">
        <v>70</v>
      </c>
      <c r="I11" s="138"/>
      <c r="J11" s="140">
        <v>2.4E-12</v>
      </c>
      <c r="K11" s="141"/>
      <c r="L11" s="141"/>
      <c r="M11" s="142"/>
      <c r="N11" s="143"/>
      <c r="O11" s="132">
        <f>IF(H11&gt;0,F11*G11/H11,"")</f>
        <v>1005.7142857142857</v>
      </c>
      <c r="P11" s="144"/>
    </row>
    <row r="12" spans="1:16" ht="11.25">
      <c r="A12" s="137" t="s">
        <v>103</v>
      </c>
      <c r="B12" s="137" t="s">
        <v>93</v>
      </c>
      <c r="C12" s="138">
        <v>150</v>
      </c>
      <c r="D12" s="138"/>
      <c r="E12" s="139">
        <v>0.0082</v>
      </c>
      <c r="F12" s="138">
        <v>7250</v>
      </c>
      <c r="G12" s="138">
        <v>6.5</v>
      </c>
      <c r="H12" s="138">
        <v>47.125</v>
      </c>
      <c r="I12" s="138">
        <v>220</v>
      </c>
      <c r="J12" s="141">
        <v>3E-12</v>
      </c>
      <c r="K12" s="141">
        <v>3.8E-12</v>
      </c>
      <c r="L12" s="141">
        <v>5E-13</v>
      </c>
      <c r="M12" s="142">
        <v>6.3</v>
      </c>
      <c r="N12" s="143">
        <v>0.45</v>
      </c>
      <c r="O12" s="132">
        <f t="shared" si="0"/>
        <v>1000</v>
      </c>
      <c r="P12" s="144"/>
    </row>
    <row r="13" spans="1:17" ht="11.25">
      <c r="A13" s="160" t="s">
        <v>113</v>
      </c>
      <c r="B13" s="160" t="s">
        <v>94</v>
      </c>
      <c r="C13" s="138">
        <v>190</v>
      </c>
      <c r="D13" s="138"/>
      <c r="E13" s="139">
        <v>0.185</v>
      </c>
      <c r="F13" s="138">
        <v>250</v>
      </c>
      <c r="G13" s="138">
        <v>11</v>
      </c>
      <c r="H13" s="138">
        <v>2.75</v>
      </c>
      <c r="I13" s="138"/>
      <c r="J13" s="140">
        <v>1.52E-11</v>
      </c>
      <c r="K13" s="141">
        <v>1.37E-11</v>
      </c>
      <c r="L13" s="141">
        <v>4.7E-12</v>
      </c>
      <c r="M13" s="142">
        <v>6.3</v>
      </c>
      <c r="N13" s="143">
        <v>4.75</v>
      </c>
      <c r="O13" s="143">
        <f>IF(H13&gt;0,F13*G13/H13,"")</f>
        <v>1000</v>
      </c>
      <c r="P13" s="161"/>
      <c r="Q13" s="162" t="s">
        <v>114</v>
      </c>
    </row>
    <row r="14" spans="1:16" ht="11.25">
      <c r="A14" s="126" t="s">
        <v>40</v>
      </c>
      <c r="B14" s="126" t="s">
        <v>93</v>
      </c>
      <c r="C14" s="127">
        <v>90</v>
      </c>
      <c r="D14" s="127">
        <v>-1.2</v>
      </c>
      <c r="E14" s="128">
        <v>0.015</v>
      </c>
      <c r="F14" s="127">
        <v>2650</v>
      </c>
      <c r="G14" s="127">
        <v>12.5</v>
      </c>
      <c r="H14" s="127">
        <v>33.125</v>
      </c>
      <c r="I14" s="127"/>
      <c r="J14" s="129">
        <f>0.0000000000014</f>
        <v>1.4E-12</v>
      </c>
      <c r="K14" s="130"/>
      <c r="L14" s="130"/>
      <c r="M14" s="131"/>
      <c r="N14" s="132"/>
      <c r="O14" s="132">
        <f t="shared" si="0"/>
        <v>1000</v>
      </c>
      <c r="P14" s="133" t="s">
        <v>33</v>
      </c>
    </row>
    <row r="15" spans="1:17" ht="11.25">
      <c r="A15" s="126" t="s">
        <v>112</v>
      </c>
      <c r="B15" s="126" t="s">
        <v>94</v>
      </c>
      <c r="C15" s="127">
        <v>135</v>
      </c>
      <c r="D15" s="127"/>
      <c r="E15" s="128">
        <v>0.125</v>
      </c>
      <c r="F15" s="127">
        <v>280</v>
      </c>
      <c r="G15" s="127">
        <v>7</v>
      </c>
      <c r="H15" s="127">
        <v>1.96</v>
      </c>
      <c r="I15" s="127"/>
      <c r="J15" s="129"/>
      <c r="K15" s="130"/>
      <c r="L15" s="130"/>
      <c r="M15" s="131">
        <v>6.3</v>
      </c>
      <c r="N15" s="132">
        <v>2.5</v>
      </c>
      <c r="O15" s="132">
        <f>IF(H15&gt;0,F15*G15/H15,"")</f>
        <v>1000</v>
      </c>
      <c r="Q15" s="125" t="s">
        <v>105</v>
      </c>
    </row>
    <row r="16" spans="1:17" ht="11.25">
      <c r="A16" s="126" t="s">
        <v>91</v>
      </c>
      <c r="B16" s="126" t="s">
        <v>94</v>
      </c>
      <c r="C16" s="127">
        <v>250</v>
      </c>
      <c r="D16" s="127"/>
      <c r="E16" s="128">
        <v>0.042</v>
      </c>
      <c r="F16" s="127">
        <v>1300</v>
      </c>
      <c r="G16" s="127">
        <v>7.6</v>
      </c>
      <c r="H16" s="127">
        <v>9.88</v>
      </c>
      <c r="I16" s="127">
        <v>390</v>
      </c>
      <c r="J16" s="129">
        <v>4.1E-12</v>
      </c>
      <c r="K16" s="130">
        <v>4.6E-12</v>
      </c>
      <c r="L16" s="130">
        <v>1.1E-12</v>
      </c>
      <c r="M16" s="131">
        <v>6.3</v>
      </c>
      <c r="N16" s="132">
        <v>1.5</v>
      </c>
      <c r="O16" s="132">
        <f t="shared" si="0"/>
        <v>999.9999999999999</v>
      </c>
      <c r="Q16" s="125" t="s">
        <v>105</v>
      </c>
    </row>
    <row r="17" spans="1:17" ht="11.25">
      <c r="A17" s="126" t="s">
        <v>97</v>
      </c>
      <c r="B17" s="126" t="s">
        <v>93</v>
      </c>
      <c r="C17" s="127">
        <v>90</v>
      </c>
      <c r="D17" s="127">
        <v>0</v>
      </c>
      <c r="E17" s="128">
        <v>0.01</v>
      </c>
      <c r="F17" s="127">
        <v>6700</v>
      </c>
      <c r="G17" s="127">
        <v>3</v>
      </c>
      <c r="H17" s="127">
        <v>20.1</v>
      </c>
      <c r="I17" s="127"/>
      <c r="J17" s="129">
        <v>4E-12</v>
      </c>
      <c r="K17" s="130">
        <v>2.3E-12</v>
      </c>
      <c r="L17" s="130">
        <v>2.2E-12</v>
      </c>
      <c r="M17" s="131">
        <v>6.3</v>
      </c>
      <c r="N17" s="132">
        <v>0.6</v>
      </c>
      <c r="O17" s="132">
        <f t="shared" si="0"/>
        <v>999.9999999999999</v>
      </c>
      <c r="Q17" s="125" t="s">
        <v>106</v>
      </c>
    </row>
    <row r="18" spans="1:15" ht="11.25">
      <c r="A18" s="126" t="s">
        <v>98</v>
      </c>
      <c r="B18" s="126" t="s">
        <v>93</v>
      </c>
      <c r="C18" s="127">
        <v>250</v>
      </c>
      <c r="D18" s="127">
        <v>-8</v>
      </c>
      <c r="E18" s="128">
        <v>0.009</v>
      </c>
      <c r="F18" s="127">
        <v>7700</v>
      </c>
      <c r="G18" s="127">
        <v>2.6</v>
      </c>
      <c r="H18" s="127">
        <v>20.02</v>
      </c>
      <c r="I18" s="127"/>
      <c r="J18" s="129">
        <v>4E-12</v>
      </c>
      <c r="K18" s="130">
        <v>2.3E-12</v>
      </c>
      <c r="L18" s="130">
        <v>2.2E-12</v>
      </c>
      <c r="M18" s="131">
        <v>6.3</v>
      </c>
      <c r="N18" s="132">
        <v>0.6</v>
      </c>
      <c r="O18" s="132">
        <f t="shared" si="0"/>
        <v>1000</v>
      </c>
    </row>
    <row r="19" spans="1:16" ht="11.25">
      <c r="A19" s="126" t="s">
        <v>33</v>
      </c>
      <c r="B19" s="126" t="s">
        <v>93</v>
      </c>
      <c r="C19" s="127">
        <v>90</v>
      </c>
      <c r="D19" s="127">
        <v>-1.3</v>
      </c>
      <c r="E19" s="128">
        <v>0.015</v>
      </c>
      <c r="F19" s="127">
        <v>2650</v>
      </c>
      <c r="G19" s="127">
        <v>12.5</v>
      </c>
      <c r="H19" s="127">
        <v>33</v>
      </c>
      <c r="I19" s="127"/>
      <c r="J19" s="129">
        <f>0.0000000000014</f>
        <v>1.4E-12</v>
      </c>
      <c r="K19" s="130"/>
      <c r="L19" s="130"/>
      <c r="M19" s="131">
        <v>6.3</v>
      </c>
      <c r="N19" s="132"/>
      <c r="O19" s="132">
        <f t="shared" si="0"/>
        <v>1003.7878787878788</v>
      </c>
      <c r="P19" s="133" t="s">
        <v>33</v>
      </c>
    </row>
    <row r="20" spans="1:17" ht="11.25">
      <c r="A20" s="126" t="s">
        <v>107</v>
      </c>
      <c r="B20" s="126" t="s">
        <v>93</v>
      </c>
      <c r="C20" s="127"/>
      <c r="D20" s="127"/>
      <c r="E20" s="128"/>
      <c r="F20" s="127"/>
      <c r="G20" s="127"/>
      <c r="H20" s="127"/>
      <c r="I20" s="127"/>
      <c r="J20" s="129"/>
      <c r="K20" s="130"/>
      <c r="L20" s="130"/>
      <c r="M20" s="131"/>
      <c r="N20" s="132"/>
      <c r="O20" s="132">
        <f t="shared" si="0"/>
      </c>
      <c r="Q20" s="125" t="s">
        <v>108</v>
      </c>
    </row>
    <row r="21" spans="1:17" ht="11.25">
      <c r="A21" s="126" t="s">
        <v>48</v>
      </c>
      <c r="B21" s="126" t="s">
        <v>93</v>
      </c>
      <c r="C21" s="127">
        <v>250</v>
      </c>
      <c r="D21" s="127">
        <v>-2</v>
      </c>
      <c r="E21" s="128">
        <v>0.018</v>
      </c>
      <c r="F21" s="127">
        <v>4400</v>
      </c>
      <c r="G21" s="127">
        <v>7.5</v>
      </c>
      <c r="H21" s="127">
        <v>33</v>
      </c>
      <c r="I21" s="127"/>
      <c r="J21" s="129">
        <f>0.0000000000016</f>
        <v>1.6E-12</v>
      </c>
      <c r="K21" s="130"/>
      <c r="L21" s="130"/>
      <c r="M21" s="131">
        <v>6.3</v>
      </c>
      <c r="N21" s="132"/>
      <c r="O21" s="132">
        <f aca="true" t="shared" si="1" ref="O21:O84">IF(H21&gt;0,F21*G21/H21,"")</f>
        <v>1000</v>
      </c>
      <c r="P21" s="133" t="s">
        <v>33</v>
      </c>
      <c r="Q21" s="125" t="s">
        <v>52</v>
      </c>
    </row>
    <row r="22" spans="1:17" ht="11.25">
      <c r="A22" s="126" t="s">
        <v>50</v>
      </c>
      <c r="B22" s="126" t="s">
        <v>93</v>
      </c>
      <c r="C22" s="127">
        <v>250</v>
      </c>
      <c r="D22" s="127">
        <v>-2</v>
      </c>
      <c r="E22" s="128">
        <v>0.018</v>
      </c>
      <c r="F22" s="127">
        <v>7500</v>
      </c>
      <c r="G22" s="127">
        <v>4.5</v>
      </c>
      <c r="H22" s="127">
        <v>35</v>
      </c>
      <c r="I22" s="127"/>
      <c r="J22" s="129">
        <f>0.0000000000016</f>
        <v>1.6E-12</v>
      </c>
      <c r="K22" s="130"/>
      <c r="L22" s="130"/>
      <c r="M22" s="131"/>
      <c r="N22" s="132"/>
      <c r="O22" s="132">
        <f t="shared" si="1"/>
        <v>964.2857142857143</v>
      </c>
      <c r="P22" s="133" t="s">
        <v>33</v>
      </c>
      <c r="Q22" s="125" t="s">
        <v>49</v>
      </c>
    </row>
    <row r="23" spans="1:17" ht="11.25">
      <c r="A23" s="126" t="s">
        <v>51</v>
      </c>
      <c r="B23" s="126" t="s">
        <v>93</v>
      </c>
      <c r="C23" s="127">
        <v>250</v>
      </c>
      <c r="D23" s="127">
        <v>-2</v>
      </c>
      <c r="E23" s="128">
        <v>0.018</v>
      </c>
      <c r="F23" s="127">
        <v>11000</v>
      </c>
      <c r="G23" s="127">
        <v>3.2</v>
      </c>
      <c r="H23" s="127">
        <v>35</v>
      </c>
      <c r="I23" s="127"/>
      <c r="J23" s="129">
        <f>0.0000000000016</f>
        <v>1.6E-12</v>
      </c>
      <c r="K23" s="130"/>
      <c r="L23" s="130"/>
      <c r="M23" s="131"/>
      <c r="N23" s="132"/>
      <c r="O23" s="132">
        <f t="shared" si="1"/>
        <v>1005.7142857142857</v>
      </c>
      <c r="P23" s="133" t="s">
        <v>33</v>
      </c>
      <c r="Q23" s="125" t="s">
        <v>36</v>
      </c>
    </row>
    <row r="24" spans="1:16" ht="11.25">
      <c r="A24" s="126" t="s">
        <v>91</v>
      </c>
      <c r="B24" s="126" t="s">
        <v>94</v>
      </c>
      <c r="C24" s="127">
        <v>250</v>
      </c>
      <c r="D24" s="127">
        <v>-2</v>
      </c>
      <c r="E24" s="128">
        <v>0.042</v>
      </c>
      <c r="F24" s="127">
        <v>1300</v>
      </c>
      <c r="G24" s="127">
        <v>7.6</v>
      </c>
      <c r="H24" s="127">
        <v>9.88</v>
      </c>
      <c r="I24" s="127"/>
      <c r="J24" s="129">
        <v>4.1E-12</v>
      </c>
      <c r="K24" s="130">
        <v>4.6E-12</v>
      </c>
      <c r="L24" s="130">
        <v>1.1E-12</v>
      </c>
      <c r="M24" s="131"/>
      <c r="N24" s="132"/>
      <c r="O24" s="132">
        <f t="shared" si="1"/>
        <v>999.9999999999999</v>
      </c>
      <c r="P24" s="133" t="s">
        <v>91</v>
      </c>
    </row>
    <row r="25" spans="1:16" ht="11.25">
      <c r="A25" s="126" t="s">
        <v>92</v>
      </c>
      <c r="B25" s="126" t="s">
        <v>94</v>
      </c>
      <c r="C25" s="127">
        <v>250</v>
      </c>
      <c r="D25" s="127">
        <v>-2</v>
      </c>
      <c r="E25" s="128">
        <v>0.0023</v>
      </c>
      <c r="F25" s="127">
        <v>44000</v>
      </c>
      <c r="G25" s="127">
        <v>1.6</v>
      </c>
      <c r="H25" s="127">
        <v>70.4</v>
      </c>
      <c r="I25" s="127"/>
      <c r="J25" s="129">
        <f>0.0000000000035</f>
        <v>3.5E-12</v>
      </c>
      <c r="K25" s="130"/>
      <c r="L25" s="130"/>
      <c r="M25" s="131"/>
      <c r="N25" s="132"/>
      <c r="O25" s="132">
        <f t="shared" si="1"/>
        <v>999.9999999999999</v>
      </c>
      <c r="P25" s="133" t="s">
        <v>38</v>
      </c>
    </row>
    <row r="26" spans="1:224" ht="11.25">
      <c r="A26" s="126" t="s">
        <v>90</v>
      </c>
      <c r="B26" s="126" t="s">
        <v>94</v>
      </c>
      <c r="C26" s="127">
        <v>250</v>
      </c>
      <c r="D26" s="127">
        <v>-8</v>
      </c>
      <c r="E26" s="128">
        <v>0.009000000000000001</v>
      </c>
      <c r="F26" s="127">
        <v>7700</v>
      </c>
      <c r="G26" s="127">
        <v>2.6</v>
      </c>
      <c r="H26" s="127">
        <v>20.02</v>
      </c>
      <c r="I26" s="127"/>
      <c r="J26" s="129">
        <f>0.0000000000039</f>
        <v>3.9E-12</v>
      </c>
      <c r="K26" s="130">
        <v>2.9E-12</v>
      </c>
      <c r="L26" s="130">
        <v>1E-12</v>
      </c>
      <c r="M26" s="131"/>
      <c r="N26" s="132"/>
      <c r="O26" s="132">
        <f t="shared" si="1"/>
        <v>1000</v>
      </c>
      <c r="P26" s="135" t="s">
        <v>83</v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</row>
    <row r="27" spans="1:224" ht="11.25">
      <c r="A27" s="145" t="s">
        <v>55</v>
      </c>
      <c r="B27" s="145" t="s">
        <v>93</v>
      </c>
      <c r="C27" s="127">
        <v>75</v>
      </c>
      <c r="D27" s="127">
        <v>-1</v>
      </c>
      <c r="E27" s="128">
        <v>0.0105</v>
      </c>
      <c r="F27" s="127">
        <v>3000</v>
      </c>
      <c r="G27" s="138">
        <v>11.5</v>
      </c>
      <c r="H27" s="127">
        <v>35</v>
      </c>
      <c r="I27" s="127"/>
      <c r="J27" s="129">
        <v>2.2E-12</v>
      </c>
      <c r="K27" s="130"/>
      <c r="L27" s="130"/>
      <c r="M27" s="131"/>
      <c r="N27" s="132"/>
      <c r="O27" s="132">
        <f t="shared" si="1"/>
        <v>985.7142857142857</v>
      </c>
      <c r="P27" s="146"/>
      <c r="Q27" s="147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</row>
    <row r="28" spans="1:16" ht="11.25">
      <c r="A28" s="126" t="s">
        <v>25</v>
      </c>
      <c r="B28" s="126"/>
      <c r="C28" s="127">
        <v>120</v>
      </c>
      <c r="D28" s="127">
        <v>-8</v>
      </c>
      <c r="E28" s="128">
        <v>0.012</v>
      </c>
      <c r="F28" s="127">
        <v>6000</v>
      </c>
      <c r="G28" s="127">
        <v>1</v>
      </c>
      <c r="H28" s="127">
        <v>6</v>
      </c>
      <c r="I28" s="127"/>
      <c r="J28" s="129">
        <f>0.000000000003</f>
        <v>3E-12</v>
      </c>
      <c r="K28" s="130"/>
      <c r="L28" s="130"/>
      <c r="M28" s="131"/>
      <c r="N28" s="132"/>
      <c r="O28" s="132">
        <f t="shared" si="1"/>
        <v>1000</v>
      </c>
      <c r="P28" s="149"/>
    </row>
    <row r="29" spans="1:17" ht="11.25">
      <c r="A29" s="126" t="s">
        <v>77</v>
      </c>
      <c r="B29" s="126" t="s">
        <v>93</v>
      </c>
      <c r="C29" s="127">
        <v>250</v>
      </c>
      <c r="D29" s="127">
        <v>-8.5</v>
      </c>
      <c r="E29" s="128">
        <v>0.0105</v>
      </c>
      <c r="F29" s="127">
        <v>7700</v>
      </c>
      <c r="G29" s="127">
        <v>2.2</v>
      </c>
      <c r="H29" s="127">
        <v>17</v>
      </c>
      <c r="I29" s="127"/>
      <c r="J29" s="129">
        <v>1.5E-12</v>
      </c>
      <c r="K29" s="150"/>
      <c r="L29" s="150"/>
      <c r="M29" s="131"/>
      <c r="N29" s="132"/>
      <c r="O29" s="132">
        <f t="shared" si="1"/>
        <v>996.4705882352941</v>
      </c>
      <c r="P29" s="149" t="s">
        <v>80</v>
      </c>
      <c r="Q29" s="125" t="s">
        <v>76</v>
      </c>
    </row>
    <row r="30" spans="1:17" ht="11.25">
      <c r="A30" s="126" t="s">
        <v>75</v>
      </c>
      <c r="B30" s="126" t="s">
        <v>93</v>
      </c>
      <c r="C30" s="127">
        <v>250</v>
      </c>
      <c r="D30" s="151">
        <v>-2</v>
      </c>
      <c r="E30" s="128">
        <v>0.0012</v>
      </c>
      <c r="F30" s="127">
        <v>62500</v>
      </c>
      <c r="G30" s="127">
        <v>1.6</v>
      </c>
      <c r="H30" s="127">
        <v>100</v>
      </c>
      <c r="I30" s="127"/>
      <c r="J30" s="129">
        <v>1.7E-12</v>
      </c>
      <c r="K30" s="150"/>
      <c r="L30" s="150"/>
      <c r="M30" s="131"/>
      <c r="N30" s="132"/>
      <c r="O30" s="132">
        <f t="shared" si="1"/>
        <v>1000</v>
      </c>
      <c r="P30" s="149" t="s">
        <v>45</v>
      </c>
      <c r="Q30" s="125" t="s">
        <v>76</v>
      </c>
    </row>
    <row r="31" spans="1:16" ht="11.25">
      <c r="A31" s="126" t="s">
        <v>26</v>
      </c>
      <c r="B31" s="126" t="s">
        <v>93</v>
      </c>
      <c r="C31" s="127">
        <v>250</v>
      </c>
      <c r="D31" s="127">
        <v>-2</v>
      </c>
      <c r="E31" s="128">
        <v>0.001</v>
      </c>
      <c r="F31" s="127">
        <v>11000</v>
      </c>
      <c r="G31" s="127">
        <v>5.5</v>
      </c>
      <c r="H31" s="127">
        <v>60.5</v>
      </c>
      <c r="I31" s="127"/>
      <c r="J31" s="129">
        <f>0.0000000000017</f>
        <v>1.7E-12</v>
      </c>
      <c r="K31" s="130"/>
      <c r="L31" s="130"/>
      <c r="M31" s="131"/>
      <c r="N31" s="132"/>
      <c r="O31" s="132">
        <f t="shared" si="1"/>
        <v>1000</v>
      </c>
      <c r="P31" s="133" t="s">
        <v>79</v>
      </c>
    </row>
    <row r="32" spans="1:16" ht="11.25">
      <c r="A32" s="126" t="s">
        <v>78</v>
      </c>
      <c r="B32" s="126" t="s">
        <v>93</v>
      </c>
      <c r="C32" s="127">
        <v>250</v>
      </c>
      <c r="D32" s="127">
        <v>-8.5</v>
      </c>
      <c r="E32" s="128">
        <v>0.0105</v>
      </c>
      <c r="F32" s="127">
        <v>7700</v>
      </c>
      <c r="G32" s="127">
        <v>2.2</v>
      </c>
      <c r="H32" s="127">
        <v>17</v>
      </c>
      <c r="I32" s="127"/>
      <c r="J32" s="129">
        <v>1.63E-12</v>
      </c>
      <c r="K32" s="150"/>
      <c r="L32" s="150"/>
      <c r="M32" s="131"/>
      <c r="N32" s="132"/>
      <c r="O32" s="132">
        <f t="shared" si="1"/>
        <v>996.4705882352941</v>
      </c>
      <c r="P32" s="133" t="s">
        <v>80</v>
      </c>
    </row>
    <row r="33" spans="1:16" ht="11.25">
      <c r="A33" s="126" t="s">
        <v>27</v>
      </c>
      <c r="B33" s="126" t="s">
        <v>93</v>
      </c>
      <c r="C33" s="127">
        <v>250</v>
      </c>
      <c r="D33" s="127">
        <v>-2</v>
      </c>
      <c r="E33" s="128">
        <v>0.0012000000000000001</v>
      </c>
      <c r="F33" s="127">
        <v>62500</v>
      </c>
      <c r="G33" s="127">
        <v>1.6</v>
      </c>
      <c r="H33" s="127">
        <v>100</v>
      </c>
      <c r="I33" s="127"/>
      <c r="J33" s="129">
        <f>0.0000000000017</f>
        <v>1.7E-12</v>
      </c>
      <c r="K33" s="130"/>
      <c r="L33" s="130"/>
      <c r="M33" s="131"/>
      <c r="N33" s="132"/>
      <c r="O33" s="132">
        <f t="shared" si="1"/>
        <v>1000</v>
      </c>
      <c r="P33" s="133" t="s">
        <v>45</v>
      </c>
    </row>
    <row r="34" spans="1:15" ht="11.25">
      <c r="A34" s="126" t="s">
        <v>28</v>
      </c>
      <c r="B34" s="126" t="s">
        <v>93</v>
      </c>
      <c r="C34" s="127">
        <v>250</v>
      </c>
      <c r="D34" s="127">
        <v>-2</v>
      </c>
      <c r="E34" s="128">
        <v>0.01</v>
      </c>
      <c r="F34" s="127">
        <v>9700</v>
      </c>
      <c r="G34" s="127">
        <v>6</v>
      </c>
      <c r="H34" s="127">
        <v>58.2</v>
      </c>
      <c r="I34" s="127"/>
      <c r="J34" s="129">
        <f>0.0000000000015</f>
        <v>1.5E-12</v>
      </c>
      <c r="K34" s="130"/>
      <c r="L34" s="130"/>
      <c r="M34" s="131"/>
      <c r="N34" s="132"/>
      <c r="O34" s="132">
        <f t="shared" si="1"/>
        <v>1000</v>
      </c>
    </row>
    <row r="35" spans="1:16" ht="11.25">
      <c r="A35" s="126" t="s">
        <v>32</v>
      </c>
      <c r="B35" s="126" t="s">
        <v>93</v>
      </c>
      <c r="C35" s="127">
        <v>90</v>
      </c>
      <c r="D35" s="127">
        <v>-1.3</v>
      </c>
      <c r="E35" s="128">
        <v>0.015</v>
      </c>
      <c r="F35" s="127">
        <v>2650</v>
      </c>
      <c r="G35" s="127">
        <v>12.5</v>
      </c>
      <c r="H35" s="127">
        <v>33.125</v>
      </c>
      <c r="I35" s="127"/>
      <c r="J35" s="129">
        <f>0.0000000000014</f>
        <v>1.4E-12</v>
      </c>
      <c r="K35" s="130"/>
      <c r="L35" s="130"/>
      <c r="M35" s="131"/>
      <c r="N35" s="132"/>
      <c r="O35" s="132">
        <f t="shared" si="1"/>
        <v>1000</v>
      </c>
      <c r="P35" s="133" t="s">
        <v>33</v>
      </c>
    </row>
    <row r="36" spans="1:15" ht="11.25">
      <c r="A36" s="152" t="s">
        <v>81</v>
      </c>
      <c r="B36" s="152" t="s">
        <v>93</v>
      </c>
      <c r="C36" s="153">
        <v>150</v>
      </c>
      <c r="D36" s="125">
        <v>-4</v>
      </c>
      <c r="E36" s="154">
        <v>0.018</v>
      </c>
      <c r="F36" s="153">
        <v>2300</v>
      </c>
      <c r="G36" s="153">
        <v>9.5</v>
      </c>
      <c r="H36" s="153">
        <v>22</v>
      </c>
      <c r="I36" s="134"/>
      <c r="J36" s="155">
        <v>1.4E-12</v>
      </c>
      <c r="K36" s="155">
        <v>3.1E-12</v>
      </c>
      <c r="L36" s="155">
        <v>1.8E-13</v>
      </c>
      <c r="O36" s="132">
        <f t="shared" si="1"/>
        <v>993.1818181818181</v>
      </c>
    </row>
    <row r="37" spans="3:15" ht="11.25">
      <c r="C37" s="134"/>
      <c r="E37" s="158"/>
      <c r="F37" s="134"/>
      <c r="G37" s="134"/>
      <c r="H37" s="134"/>
      <c r="I37" s="134"/>
      <c r="K37" s="155"/>
      <c r="L37" s="155"/>
      <c r="O37" s="132">
        <f t="shared" si="1"/>
      </c>
    </row>
    <row r="38" spans="1:17" ht="11.25">
      <c r="A38" s="152" t="s">
        <v>89</v>
      </c>
      <c r="B38" s="152" t="s">
        <v>94</v>
      </c>
      <c r="C38" s="125">
        <v>250</v>
      </c>
      <c r="D38" s="125">
        <v>-14.5</v>
      </c>
      <c r="E38" s="159">
        <v>0.07</v>
      </c>
      <c r="F38" s="125">
        <v>18000</v>
      </c>
      <c r="G38" s="125">
        <v>9</v>
      </c>
      <c r="H38" s="125">
        <v>162</v>
      </c>
      <c r="J38" s="155">
        <v>6E-13</v>
      </c>
      <c r="K38" s="155">
        <v>1E-11</v>
      </c>
      <c r="L38" s="155">
        <v>5.1E-12</v>
      </c>
      <c r="O38" s="132">
        <f t="shared" si="1"/>
        <v>1000</v>
      </c>
      <c r="Q38" s="125" t="s">
        <v>87</v>
      </c>
    </row>
    <row r="39" spans="1:17" ht="11.25">
      <c r="A39" s="152" t="s">
        <v>88</v>
      </c>
      <c r="B39" s="152" t="s">
        <v>93</v>
      </c>
      <c r="C39" s="125">
        <v>250</v>
      </c>
      <c r="D39" s="125">
        <v>-7.3</v>
      </c>
      <c r="E39" s="159">
        <v>0.048</v>
      </c>
      <c r="F39" s="125">
        <v>38000</v>
      </c>
      <c r="G39" s="125">
        <v>11.3</v>
      </c>
      <c r="H39" s="125">
        <v>418</v>
      </c>
      <c r="J39" s="155">
        <v>6E-13</v>
      </c>
      <c r="K39" s="155">
        <v>1E-11</v>
      </c>
      <c r="L39" s="155">
        <v>5.1E-12</v>
      </c>
      <c r="O39" s="132">
        <f t="shared" si="1"/>
        <v>1027.2727272727273</v>
      </c>
      <c r="P39" s="133" t="s">
        <v>85</v>
      </c>
      <c r="Q39" s="125" t="s">
        <v>87</v>
      </c>
    </row>
    <row r="40" spans="1:17" ht="11.25">
      <c r="A40" s="152" t="s">
        <v>86</v>
      </c>
      <c r="B40" s="152" t="s">
        <v>93</v>
      </c>
      <c r="C40" s="125">
        <v>250</v>
      </c>
      <c r="D40" s="125">
        <v>-7.3</v>
      </c>
      <c r="E40" s="159">
        <v>0.048</v>
      </c>
      <c r="F40" s="125">
        <v>38000</v>
      </c>
      <c r="G40" s="125">
        <v>11</v>
      </c>
      <c r="H40" s="125">
        <v>418</v>
      </c>
      <c r="J40" s="155">
        <v>6E-13</v>
      </c>
      <c r="K40" s="155">
        <v>1E-11</v>
      </c>
      <c r="L40" s="155">
        <v>5.1E-12</v>
      </c>
      <c r="O40" s="132">
        <f t="shared" si="1"/>
        <v>1000</v>
      </c>
      <c r="P40" s="133" t="s">
        <v>84</v>
      </c>
      <c r="Q40" s="125" t="s">
        <v>87</v>
      </c>
    </row>
    <row r="41" ht="11.25">
      <c r="O41" s="132">
        <f t="shared" si="1"/>
      </c>
    </row>
    <row r="42" ht="11.25">
      <c r="O42" s="132">
        <f t="shared" si="1"/>
      </c>
    </row>
    <row r="43" ht="11.25">
      <c r="O43" s="132">
        <f t="shared" si="1"/>
      </c>
    </row>
    <row r="44" ht="11.25">
      <c r="O44" s="132">
        <f t="shared" si="1"/>
      </c>
    </row>
    <row r="45" ht="11.25">
      <c r="O45" s="132">
        <f t="shared" si="1"/>
      </c>
    </row>
    <row r="46" ht="11.25">
      <c r="O46" s="132">
        <f t="shared" si="1"/>
      </c>
    </row>
    <row r="47" ht="11.25">
      <c r="O47" s="132">
        <f t="shared" si="1"/>
      </c>
    </row>
    <row r="48" ht="11.25">
      <c r="O48" s="132">
        <f t="shared" si="1"/>
      </c>
    </row>
    <row r="49" ht="11.25">
      <c r="O49" s="132">
        <f t="shared" si="1"/>
      </c>
    </row>
    <row r="50" ht="11.25">
      <c r="O50" s="132">
        <f t="shared" si="1"/>
      </c>
    </row>
    <row r="51" ht="11.25">
      <c r="O51" s="132">
        <f t="shared" si="1"/>
      </c>
    </row>
    <row r="52" ht="11.25">
      <c r="O52" s="132">
        <f t="shared" si="1"/>
      </c>
    </row>
    <row r="53" ht="11.25">
      <c r="O53" s="132">
        <f t="shared" si="1"/>
      </c>
    </row>
    <row r="54" ht="11.25">
      <c r="O54" s="132">
        <f t="shared" si="1"/>
      </c>
    </row>
    <row r="55" ht="11.25">
      <c r="O55" s="132">
        <f t="shared" si="1"/>
      </c>
    </row>
    <row r="56" ht="11.25">
      <c r="O56" s="132">
        <f t="shared" si="1"/>
      </c>
    </row>
    <row r="57" ht="11.25">
      <c r="O57" s="132">
        <f t="shared" si="1"/>
      </c>
    </row>
    <row r="58" ht="11.25">
      <c r="O58" s="132">
        <f t="shared" si="1"/>
      </c>
    </row>
    <row r="59" ht="11.25">
      <c r="O59" s="132">
        <f t="shared" si="1"/>
      </c>
    </row>
    <row r="60" ht="11.25">
      <c r="O60" s="132">
        <f t="shared" si="1"/>
      </c>
    </row>
    <row r="61" ht="11.25">
      <c r="O61" s="132">
        <f t="shared" si="1"/>
      </c>
    </row>
    <row r="62" ht="11.25">
      <c r="O62" s="132">
        <f t="shared" si="1"/>
      </c>
    </row>
    <row r="63" ht="11.25">
      <c r="O63" s="132">
        <f t="shared" si="1"/>
      </c>
    </row>
    <row r="64" ht="11.25">
      <c r="O64" s="132">
        <f t="shared" si="1"/>
      </c>
    </row>
    <row r="65" ht="11.25">
      <c r="O65" s="132">
        <f t="shared" si="1"/>
      </c>
    </row>
    <row r="66" ht="11.25">
      <c r="O66" s="132">
        <f t="shared" si="1"/>
      </c>
    </row>
    <row r="67" ht="11.25">
      <c r="O67" s="132">
        <f t="shared" si="1"/>
      </c>
    </row>
    <row r="68" ht="11.25">
      <c r="O68" s="132">
        <f t="shared" si="1"/>
      </c>
    </row>
    <row r="69" ht="11.25">
      <c r="O69" s="132">
        <f t="shared" si="1"/>
      </c>
    </row>
    <row r="70" ht="11.25">
      <c r="O70" s="132">
        <f t="shared" si="1"/>
      </c>
    </row>
    <row r="71" ht="11.25">
      <c r="O71" s="132">
        <f t="shared" si="1"/>
      </c>
    </row>
    <row r="72" ht="11.25">
      <c r="O72" s="132">
        <f t="shared" si="1"/>
      </c>
    </row>
    <row r="73" ht="11.25">
      <c r="O73" s="132">
        <f t="shared" si="1"/>
      </c>
    </row>
    <row r="74" ht="11.25">
      <c r="O74" s="132">
        <f t="shared" si="1"/>
      </c>
    </row>
    <row r="75" ht="11.25">
      <c r="O75" s="132">
        <f t="shared" si="1"/>
      </c>
    </row>
    <row r="76" ht="11.25">
      <c r="O76" s="132">
        <f t="shared" si="1"/>
      </c>
    </row>
    <row r="77" ht="11.25">
      <c r="O77" s="132">
        <f t="shared" si="1"/>
      </c>
    </row>
    <row r="78" ht="11.25">
      <c r="O78" s="132">
        <f t="shared" si="1"/>
      </c>
    </row>
    <row r="79" ht="11.25">
      <c r="O79" s="132">
        <f t="shared" si="1"/>
      </c>
    </row>
    <row r="80" ht="11.25">
      <c r="O80" s="132">
        <f t="shared" si="1"/>
      </c>
    </row>
    <row r="81" ht="11.25">
      <c r="O81" s="132">
        <f t="shared" si="1"/>
      </c>
    </row>
    <row r="82" ht="11.25">
      <c r="O82" s="132">
        <f t="shared" si="1"/>
      </c>
    </row>
    <row r="83" ht="11.25">
      <c r="O83" s="132">
        <f t="shared" si="1"/>
      </c>
    </row>
    <row r="84" ht="11.25">
      <c r="O84" s="132">
        <f t="shared" si="1"/>
      </c>
    </row>
    <row r="85" ht="11.25">
      <c r="O85" s="132">
        <f aca="true" t="shared" si="2" ref="O85:O96">IF(H85&gt;0,F85*G85/H85,"")</f>
      </c>
    </row>
    <row r="86" ht="11.25">
      <c r="O86" s="132">
        <f t="shared" si="2"/>
      </c>
    </row>
    <row r="87" ht="11.25">
      <c r="O87" s="132">
        <f t="shared" si="2"/>
      </c>
    </row>
    <row r="88" ht="11.25">
      <c r="O88" s="132">
        <f t="shared" si="2"/>
      </c>
    </row>
    <row r="89" ht="11.25">
      <c r="O89" s="132">
        <f t="shared" si="2"/>
      </c>
    </row>
    <row r="90" ht="11.25">
      <c r="O90" s="132">
        <f t="shared" si="2"/>
      </c>
    </row>
    <row r="91" ht="11.25">
      <c r="O91" s="132">
        <f t="shared" si="2"/>
      </c>
    </row>
    <row r="92" ht="11.25">
      <c r="O92" s="132">
        <f t="shared" si="2"/>
      </c>
    </row>
    <row r="93" ht="11.25">
      <c r="O93" s="132">
        <f t="shared" si="2"/>
      </c>
    </row>
    <row r="94" ht="11.25">
      <c r="O94" s="132">
        <f t="shared" si="2"/>
      </c>
    </row>
    <row r="95" ht="11.25">
      <c r="O95" s="132">
        <f t="shared" si="2"/>
      </c>
    </row>
    <row r="96" ht="11.25">
      <c r="O96" s="132">
        <f t="shared" si="2"/>
      </c>
    </row>
  </sheetData>
  <conditionalFormatting sqref="O5:O6 O26">
    <cfRule type="cellIs" priority="1" dxfId="0" operator="notBetween" stopIfTrue="1">
      <formula>950</formula>
      <formula>1050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&amp;C&amp;A</oddHeader>
    <oddFooter>&amp;CPage &amp;P</oddFooter>
  </headerFooter>
  <ignoredErrors>
    <ignoredError sqref="A9 A14 A27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Maarten@Platenspeler.com</dc:creator>
  <cp:keywords/>
  <dc:description/>
  <cp:lastModifiedBy>maarten</cp:lastModifiedBy>
  <cp:lastPrinted>1601-01-01T00:06:31Z</cp:lastPrinted>
  <dcterms:created xsi:type="dcterms:W3CDTF">2002-04-28T16:02:04Z</dcterms:created>
  <dcterms:modified xsi:type="dcterms:W3CDTF">2007-06-16T23:11:00Z</dcterms:modified>
  <cp:category/>
  <cp:version/>
  <cp:contentType/>
  <cp:contentStatus/>
  <cp:revision>197</cp:revision>
</cp:coreProperties>
</file>