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736" firstSheet="1" activeTab="5"/>
  </bookViews>
  <sheets>
    <sheet name="Read_me" sheetId="1" r:id="rId1"/>
    <sheet name="Intro" sheetId="2" r:id="rId2"/>
    <sheet name="riaa_curve" sheetId="3" r:id="rId3"/>
    <sheet name="chart" sheetId="4" r:id="rId4"/>
    <sheet name="Loekie_built_1st_version" sheetId="5" r:id="rId5"/>
    <sheet name="Loekie_enhanced_version" sheetId="6" r:id="rId6"/>
  </sheets>
  <definedNames>
    <definedName name="cm_scratch_tbl">'chart'!$A$7:$D$141</definedName>
    <definedName name="jerry_ss_v1_12ax7">"$"</definedName>
    <definedName name="Ruit">'riaa_curve'!$B$1</definedName>
    <definedName name="scratch_remco_green">"$"</definedName>
    <definedName name="tweety_ss_upgrade_12ax7">"$"</definedName>
    <definedName name="zurlinde_ss_v1_12ax7">"$"</definedName>
  </definedNames>
  <calcPr fullCalcOnLoad="1"/>
</workbook>
</file>

<file path=xl/comments5.xml><?xml version="1.0" encoding="utf-8"?>
<comments xmlns="http://schemas.openxmlformats.org/spreadsheetml/2006/main">
  <authors>
    <author>Maarten Westenberg</author>
  </authors>
  <commentList>
    <comment ref="A5" authorId="0">
      <text>
        <r>
          <rPr>
            <b/>
            <sz val="8"/>
            <rFont val="Tahoma"/>
            <family val="0"/>
          </rPr>
          <t>Maarten Westenberg:</t>
        </r>
        <r>
          <rPr>
            <sz val="8"/>
            <rFont val="Tahoma"/>
            <family val="0"/>
          </rPr>
          <t xml:space="preserve">
C105 in the schema of Loekie</t>
        </r>
      </text>
    </comment>
    <comment ref="A6" authorId="0">
      <text>
        <r>
          <rPr>
            <b/>
            <sz val="8"/>
            <rFont val="Tahoma"/>
            <family val="0"/>
          </rPr>
          <t>Maarten Westenberg:</t>
        </r>
        <r>
          <rPr>
            <sz val="8"/>
            <rFont val="Tahoma"/>
            <family val="0"/>
          </rPr>
          <t xml:space="preserve">
C106 in the schema of Loekie</t>
        </r>
      </text>
    </comment>
    <comment ref="A9" authorId="0">
      <text>
        <r>
          <rPr>
            <b/>
            <sz val="8"/>
            <rFont val="Tahoma"/>
            <family val="0"/>
          </rPr>
          <t>Maarten Westenberg:</t>
        </r>
        <r>
          <rPr>
            <sz val="8"/>
            <rFont val="Tahoma"/>
            <family val="0"/>
          </rPr>
          <t xml:space="preserve">
R105 in the schema</t>
        </r>
      </text>
    </comment>
    <comment ref="A10" authorId="0">
      <text>
        <r>
          <rPr>
            <b/>
            <sz val="8"/>
            <rFont val="Tahoma"/>
            <family val="0"/>
          </rPr>
          <t>Maarten Westenberg:</t>
        </r>
        <r>
          <rPr>
            <sz val="8"/>
            <rFont val="Tahoma"/>
            <family val="0"/>
          </rPr>
          <t xml:space="preserve">
R106 in the schema on the Intro sheet</t>
        </r>
      </text>
    </comment>
    <comment ref="A11" authorId="0">
      <text>
        <r>
          <rPr>
            <b/>
            <sz val="8"/>
            <rFont val="Tahoma"/>
            <family val="0"/>
          </rPr>
          <t>Maarten Westenberg:</t>
        </r>
        <r>
          <rPr>
            <sz val="8"/>
            <rFont val="Tahoma"/>
            <family val="0"/>
          </rPr>
          <t xml:space="preserve">
This is R107 in the Loekie Schema on the first (Intro) sheet</t>
        </r>
      </text>
    </comment>
    <comment ref="A12" authorId="0">
      <text>
        <r>
          <rPr>
            <b/>
            <sz val="8"/>
            <rFont val="Tahoma"/>
            <family val="0"/>
          </rPr>
          <t>Maarten Westenberg:</t>
        </r>
        <r>
          <rPr>
            <sz val="8"/>
            <rFont val="Tahoma"/>
            <family val="0"/>
          </rPr>
          <t xml:space="preserve">
This is R108 in the Loekie Schema</t>
        </r>
      </text>
    </comment>
    <comment ref="A13" authorId="0">
      <text>
        <r>
          <rPr>
            <b/>
            <sz val="8"/>
            <rFont val="Tahoma"/>
            <family val="0"/>
          </rPr>
          <t>Maarten Westenberg:</t>
        </r>
        <r>
          <rPr>
            <sz val="8"/>
            <rFont val="Tahoma"/>
            <family val="0"/>
          </rPr>
          <t xml:space="preserve">
This is R109
 in the schema on the Intro sheet</t>
        </r>
      </text>
    </comment>
    <comment ref="A4" authorId="0">
      <text>
        <r>
          <rPr>
            <b/>
            <sz val="8"/>
            <rFont val="Tahoma"/>
            <family val="0"/>
          </rPr>
          <t>Maarten Westenberg:</t>
        </r>
        <r>
          <rPr>
            <sz val="8"/>
            <rFont val="Tahoma"/>
            <family val="0"/>
          </rPr>
          <t xml:space="preserve">
C_Audio is the sum of both audio caps in series. For the RIAA filter, the first one is most important, however also the second one determinse low freq response.
Therefore, taking this sum into the sheet instead of just the value of C1 is not correct but it gives a more accurate simulation than taking C1 alone.</t>
        </r>
      </text>
    </comment>
  </commentList>
</comments>
</file>

<file path=xl/comments6.xml><?xml version="1.0" encoding="utf-8"?>
<comments xmlns="http://schemas.openxmlformats.org/spreadsheetml/2006/main">
  <authors>
    <author>Maarten Westenberg</author>
  </authors>
  <commentList>
    <comment ref="A13" authorId="0">
      <text>
        <r>
          <rPr>
            <b/>
            <sz val="8"/>
            <rFont val="Tahoma"/>
            <family val="0"/>
          </rPr>
          <t>Maarten Westenberg:</t>
        </r>
        <r>
          <rPr>
            <sz val="8"/>
            <rFont val="Tahoma"/>
            <family val="0"/>
          </rPr>
          <t xml:space="preserve">
This is R109
 in the schema on the Intro sheet</t>
        </r>
      </text>
    </comment>
    <comment ref="A12" authorId="0">
      <text>
        <r>
          <rPr>
            <b/>
            <sz val="8"/>
            <rFont val="Tahoma"/>
            <family val="0"/>
          </rPr>
          <t>Maarten Westenberg:</t>
        </r>
        <r>
          <rPr>
            <sz val="8"/>
            <rFont val="Tahoma"/>
            <family val="0"/>
          </rPr>
          <t xml:space="preserve">
This is R108 in the Loekie Schema</t>
        </r>
      </text>
    </comment>
    <comment ref="A11" authorId="0">
      <text>
        <r>
          <rPr>
            <b/>
            <sz val="8"/>
            <rFont val="Tahoma"/>
            <family val="0"/>
          </rPr>
          <t>Maarten Westenberg:</t>
        </r>
        <r>
          <rPr>
            <sz val="8"/>
            <rFont val="Tahoma"/>
            <family val="0"/>
          </rPr>
          <t xml:space="preserve">
This is R107 in the Loekie Schema on the first (Intro) sheet</t>
        </r>
      </text>
    </comment>
    <comment ref="A9" authorId="0">
      <text>
        <r>
          <rPr>
            <b/>
            <sz val="8"/>
            <rFont val="Tahoma"/>
            <family val="0"/>
          </rPr>
          <t>Maarten Westenberg:</t>
        </r>
        <r>
          <rPr>
            <sz val="8"/>
            <rFont val="Tahoma"/>
            <family val="0"/>
          </rPr>
          <t xml:space="preserve">
R105 in the schema</t>
        </r>
      </text>
    </comment>
    <comment ref="A10" authorId="0">
      <text>
        <r>
          <rPr>
            <b/>
            <sz val="8"/>
            <rFont val="Tahoma"/>
            <family val="0"/>
          </rPr>
          <t>Maarten Westenberg:</t>
        </r>
        <r>
          <rPr>
            <sz val="8"/>
            <rFont val="Tahoma"/>
            <family val="0"/>
          </rPr>
          <t xml:space="preserve">
R106 in the schema on the Intro sheet</t>
        </r>
      </text>
    </comment>
    <comment ref="B4" authorId="0">
      <text>
        <r>
          <rPr>
            <b/>
            <sz val="8"/>
            <rFont val="Tahoma"/>
            <family val="0"/>
          </rPr>
          <t>Maarten Westenberg:</t>
        </r>
        <r>
          <rPr>
            <sz val="8"/>
            <rFont val="Tahoma"/>
            <family val="0"/>
          </rPr>
          <t xml:space="preserve">
C104 in the schema</t>
        </r>
      </text>
    </comment>
    <comment ref="C4" authorId="0">
      <text>
        <r>
          <rPr>
            <b/>
            <sz val="8"/>
            <rFont val="Tahoma"/>
            <family val="0"/>
          </rPr>
          <t>Maarten Westenberg:</t>
        </r>
        <r>
          <rPr>
            <sz val="8"/>
            <rFont val="Tahoma"/>
            <family val="0"/>
          </rPr>
          <t xml:space="preserve">
C108 in the Schema</t>
        </r>
      </text>
    </comment>
    <comment ref="A7" authorId="0">
      <text>
        <r>
          <rPr>
            <b/>
            <sz val="8"/>
            <rFont val="Tahoma"/>
            <family val="0"/>
          </rPr>
          <t>Maarten Westenberg:</t>
        </r>
        <r>
          <rPr>
            <sz val="8"/>
            <rFont val="Tahoma"/>
            <family val="0"/>
          </rPr>
          <t xml:space="preserve">
This value can be calculated with my Tube calculation sheet. It's ussually 
a small value but important for exact frequency response</t>
        </r>
      </text>
    </comment>
    <comment ref="A8" authorId="0">
      <text>
        <r>
          <rPr>
            <b/>
            <sz val="8"/>
            <rFont val="Tahoma"/>
            <family val="0"/>
          </rPr>
          <t>Maarten Westenberg:</t>
        </r>
        <r>
          <rPr>
            <sz val="8"/>
            <rFont val="Tahoma"/>
            <family val="0"/>
          </rPr>
          <t xml:space="preserve">
This value can be calculated with the tube calculator spreadsheet
</t>
        </r>
      </text>
    </comment>
    <comment ref="A4" authorId="0">
      <text>
        <r>
          <rPr>
            <b/>
            <sz val="8"/>
            <rFont val="Tahoma"/>
            <family val="0"/>
          </rPr>
          <t>Maarten Westenberg:</t>
        </r>
        <r>
          <rPr>
            <sz val="8"/>
            <rFont val="Tahoma"/>
            <family val="0"/>
          </rPr>
          <t xml:space="preserve">
C_Audio is the sum of both audio caps in series. For the RIAA filter, the first one is most important, however also the second one determinse low freq response.
Therefore, taking this sum into the sheet instead of just the value of C1 is not correct but it gives a more accurate simulation than taking C1 alone.</t>
        </r>
      </text>
    </comment>
    <comment ref="A5" authorId="0">
      <text>
        <r>
          <rPr>
            <b/>
            <sz val="8"/>
            <rFont val="Tahoma"/>
            <family val="0"/>
          </rPr>
          <t>Maarten Westenberg:</t>
        </r>
        <r>
          <rPr>
            <sz val="8"/>
            <rFont val="Tahoma"/>
            <family val="0"/>
          </rPr>
          <t xml:space="preserve">
C105 in the schema of Loekie</t>
        </r>
      </text>
    </comment>
    <comment ref="A6" authorId="0">
      <text>
        <r>
          <rPr>
            <b/>
            <sz val="8"/>
            <rFont val="Tahoma"/>
            <family val="0"/>
          </rPr>
          <t>Maarten Westenberg:</t>
        </r>
        <r>
          <rPr>
            <sz val="8"/>
            <rFont val="Tahoma"/>
            <family val="0"/>
          </rPr>
          <t xml:space="preserve">
C106 in the schema of Loekie</t>
        </r>
      </text>
    </comment>
  </commentList>
</comments>
</file>

<file path=xl/sharedStrings.xml><?xml version="1.0" encoding="utf-8"?>
<sst xmlns="http://schemas.openxmlformats.org/spreadsheetml/2006/main" count="164" uniqueCount="119">
  <si>
    <t>This program uses calculations to calculate a one-stage RIAA correction Filter (see schema below)</t>
  </si>
  <si>
    <t>The RIAA filters calculated are the one-pass type with 2  capacitors and 4 resistor as used in scratch, Loekie and Jerry</t>
  </si>
  <si>
    <t>The sheets allow values for any of the components to be changed and the resulting change can be viewed in the charts.</t>
  </si>
  <si>
    <t>Please be aware that I used this program solely for my own use and I'n not claiming at all that the formules used in this sheet are correct.</t>
  </si>
  <si>
    <t>However, when comparing the output of these calculations with SuperSPICE output, there is sufficient ground to believe the calculated</t>
  </si>
  <si>
    <t>Values are within 0.3 dB of the simulated values. Limitations are: The use of coupling capacitors is difficult to model since some may</t>
  </si>
  <si>
    <t>Be in the signal path further on in the design (limit low freqs). The influence of capacity of wiring etc. influences high freqs (use miller cap to model).</t>
  </si>
  <si>
    <t>In each Sheet, The blue cells are the one that need to be filled out with the correct values.</t>
  </si>
  <si>
    <t>The Red celles are used in the calculations and should not be modified by the user.</t>
  </si>
  <si>
    <t>Notes</t>
  </si>
  <si>
    <t>The Miller Capacity of the output stage is not itself included in the calculations yet. Instead, Cmiller is added to C2 and these are used together.</t>
  </si>
  <si>
    <t>The grid resistor of the output stage is not used yet in the calculations. We expect it's influence to be minimal anyway.</t>
  </si>
  <si>
    <t>The audiocapacitors between input/output stage and in the output are combined in one serial value for serial capacitance in the signal path.</t>
  </si>
  <si>
    <t xml:space="preserve">The value of Ri-out, the output impedance of the input stage is taken from another sheet but but could also be calculated depending on the </t>
  </si>
  <si>
    <t>Input circuit and the tubes used.</t>
  </si>
  <si>
    <t>Maarten</t>
  </si>
  <si>
    <t>14 Augustus 2002</t>
  </si>
  <si>
    <t>0dB point reference</t>
  </si>
  <si>
    <t>T1</t>
  </si>
  <si>
    <t>T2</t>
  </si>
  <si>
    <t>T3</t>
  </si>
  <si>
    <t>dB</t>
  </si>
  <si>
    <t>Vin</t>
  </si>
  <si>
    <t>C1</t>
  </si>
  <si>
    <t>F</t>
  </si>
  <si>
    <t>C2</t>
  </si>
  <si>
    <t>C2, incl Miller</t>
  </si>
  <si>
    <t>Cmiller</t>
  </si>
  <si>
    <t>R-out1</t>
  </si>
  <si>
    <t>Ohm</t>
  </si>
  <si>
    <t>R1</t>
  </si>
  <si>
    <t>R2</t>
  </si>
  <si>
    <t>R3</t>
  </si>
  <si>
    <t>R4</t>
  </si>
  <si>
    <t>Rg2</t>
  </si>
  <si>
    <t>Corrected for</t>
  </si>
  <si>
    <t>Diff Riaa for</t>
  </si>
  <si>
    <t>Freq (Hz)</t>
  </si>
  <si>
    <t>w</t>
  </si>
  <si>
    <t>¦Z teller¦</t>
  </si>
  <si>
    <t>¦Z noem¦</t>
  </si>
  <si>
    <t>DB teller</t>
  </si>
  <si>
    <t>DB noemer</t>
  </si>
  <si>
    <t>Results (dB)</t>
  </si>
  <si>
    <t>1000Hz</t>
  </si>
  <si>
    <t>Vin</t>
  </si>
  <si>
    <t>F</t>
  </si>
  <si>
    <t>C1</t>
  </si>
  <si>
    <t>F</t>
  </si>
  <si>
    <t>C2, incl Miller</t>
  </si>
  <si>
    <t>F</t>
  </si>
  <si>
    <t>Ohm</t>
  </si>
  <si>
    <t>Ohm</t>
  </si>
  <si>
    <t>Ohm</t>
  </si>
  <si>
    <t>R2</t>
  </si>
  <si>
    <t>Ohm</t>
  </si>
  <si>
    <t>R3</t>
  </si>
  <si>
    <t>Ohm</t>
  </si>
  <si>
    <t>R4</t>
  </si>
  <si>
    <t>Rg2</t>
  </si>
  <si>
    <t>Corrected for</t>
  </si>
  <si>
    <t>Diff Riaa for</t>
  </si>
  <si>
    <t>Freq (X-axis)</t>
  </si>
  <si>
    <t>T0</t>
  </si>
  <si>
    <t>T4</t>
  </si>
  <si>
    <t>T3-T1-T2</t>
  </si>
  <si>
    <t>T3+T4-T1-T2</t>
  </si>
  <si>
    <t>Time (s)</t>
  </si>
  <si>
    <t>Standard RIAA</t>
  </si>
  <si>
    <t>Enhanced RIAA</t>
  </si>
  <si>
    <t>Loekie_RIAA</t>
  </si>
  <si>
    <t>Loekie_eRIAA</t>
  </si>
  <si>
    <t>RIAA Background, Filter calculation for passive RIAA filters</t>
  </si>
  <si>
    <t>This worksheet describes the formulas for designing a passive RIAA filter as found in Loekie, Jerry and Scratch.</t>
  </si>
  <si>
    <t>© maarten@platenspeler.com</t>
  </si>
  <si>
    <t>http://www.platenspeler.com</t>
  </si>
  <si>
    <t>Sheet</t>
  </si>
  <si>
    <t>Schema</t>
  </si>
  <si>
    <t>R105</t>
  </si>
  <si>
    <t>R106</t>
  </si>
  <si>
    <t>R107</t>
  </si>
  <si>
    <t>R108</t>
  </si>
  <si>
    <t>C105</t>
  </si>
  <si>
    <t>C106</t>
  </si>
  <si>
    <t>see Tubesheet</t>
  </si>
  <si>
    <t>C_audio</t>
  </si>
  <si>
    <t>C104||C108</t>
  </si>
  <si>
    <t>R109</t>
  </si>
  <si>
    <t>Rg</t>
  </si>
  <si>
    <t>Caudio</t>
  </si>
  <si>
    <t>Caudio2</t>
  </si>
  <si>
    <t>Caudio1</t>
  </si>
  <si>
    <t>version 1</t>
  </si>
  <si>
    <t>Loekie_sRIAA</t>
  </si>
  <si>
    <t>Version 2, e_RIAA</t>
  </si>
  <si>
    <t>Since C108 is not part of RIAA</t>
  </si>
  <si>
    <t>Download my sheet with tube data to calculate R_out and C_miller for tubes used.</t>
  </si>
  <si>
    <t xml:space="preserve">The RIAA components in the sheets are described by the following little table: </t>
  </si>
  <si>
    <t>but influences low freqs I did</t>
  </si>
  <si>
    <t>model it together with C104</t>
  </si>
  <si>
    <t>SPICE sims prove me right.</t>
  </si>
  <si>
    <t>I'm not responsible for the correctness of the formulas, the outcome, nor the sound of preamps built with this sheet ;-)</t>
  </si>
  <si>
    <t>This sheet is free for non-commercial and personal use, and is provided as-is, without warranty of any kind.</t>
  </si>
  <si>
    <t>C_audio2</t>
  </si>
  <si>
    <t>C_audio1</t>
  </si>
  <si>
    <t>Transfer Function of Loekie</t>
  </si>
  <si>
    <t>Z real denominator</t>
  </si>
  <si>
    <t>Z real numerator</t>
  </si>
  <si>
    <t>Z ima numerator</t>
  </si>
  <si>
    <t>Z ima denominator</t>
  </si>
  <si>
    <t>All Audio Caps</t>
  </si>
  <si>
    <t>Total R1+Ri</t>
  </si>
  <si>
    <t>RIAA curve calculation for 20-20000Hz</t>
  </si>
  <si>
    <t>Notes:</t>
  </si>
  <si>
    <t>Only modify the blue fields, the others are protected</t>
  </si>
  <si>
    <t>Read the comments for fields (see small red triangle)</t>
  </si>
  <si>
    <t xml:space="preserve">Do not delete or insert rows/columns, there are lots of formulas in this sheet </t>
  </si>
  <si>
    <t>Use my other sheets for R_out calculation and standard E96 resistor values</t>
  </si>
  <si>
    <t>Transfer Function for the Loekie Design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</si>
</sst>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mm/dd/yy"/>
    <numFmt numFmtId="181" formatCode="0.000"/>
    <numFmt numFmtId="182" formatCode="#,##0.0000"/>
    <numFmt numFmtId="183" formatCode="0.0000E+00"/>
    <numFmt numFmtId="184" formatCode="#,##0.000"/>
    <numFmt numFmtId="185" formatCode="0.00E+000"/>
    <numFmt numFmtId="186" formatCode="#,###.00"/>
  </numFmts>
  <fonts count="30">
    <font>
      <sz val="10"/>
      <name val="Arial"/>
      <family val="0"/>
    </font>
    <font>
      <b/>
      <sz val="12"/>
      <color indexed="8"/>
      <name val="Albany"/>
      <family val="2"/>
    </font>
    <font>
      <sz val="10"/>
      <color indexed="8"/>
      <name val="Albany"/>
      <family val="2"/>
    </font>
    <font>
      <b/>
      <sz val="10"/>
      <color indexed="8"/>
      <name val="Albany"/>
      <family val="2"/>
    </font>
    <font>
      <b/>
      <sz val="10"/>
      <color indexed="8"/>
      <name val="Arial"/>
      <family val="2"/>
    </font>
    <font>
      <sz val="10"/>
      <color indexed="8"/>
      <name val="Arial"/>
      <family val="0"/>
    </font>
    <font>
      <sz val="6.65"/>
      <name val="Albany"/>
      <family val="2"/>
    </font>
    <font>
      <sz val="7.8"/>
      <name val="Albany"/>
      <family val="2"/>
    </font>
    <font>
      <sz val="9.5"/>
      <name val="Albany"/>
      <family val="2"/>
    </font>
    <font>
      <sz val="13.35"/>
      <name val="Albany"/>
      <family val="2"/>
    </font>
    <font>
      <sz val="11"/>
      <name val="Albany"/>
      <family val="2"/>
    </font>
    <font>
      <sz val="28.85"/>
      <name val="Albany"/>
      <family val="2"/>
    </font>
    <font>
      <b/>
      <sz val="10"/>
      <color indexed="14"/>
      <name val="Albany"/>
      <family val="2"/>
    </font>
    <font>
      <b/>
      <sz val="10"/>
      <color indexed="9"/>
      <name val="Albany"/>
      <family val="2"/>
    </font>
    <font>
      <sz val="7.15"/>
      <name val="Albany"/>
      <family val="2"/>
    </font>
    <font>
      <sz val="8.6"/>
      <name val="Albany"/>
      <family val="2"/>
    </font>
    <font>
      <sz val="9.65"/>
      <name val="Albany"/>
      <family val="2"/>
    </font>
    <font>
      <sz val="6.5"/>
      <name val="Albany"/>
      <family val="2"/>
    </font>
    <font>
      <b/>
      <sz val="10"/>
      <name val="Arial"/>
      <family val="2"/>
    </font>
    <font>
      <u val="single"/>
      <sz val="10"/>
      <color indexed="12"/>
      <name val="Arial"/>
      <family val="0"/>
    </font>
    <font>
      <b/>
      <sz val="12"/>
      <color indexed="8"/>
      <name val="Arial"/>
      <family val="0"/>
    </font>
    <font>
      <sz val="14"/>
      <color indexed="8"/>
      <name val="Albany"/>
      <family val="2"/>
    </font>
    <font>
      <u val="single"/>
      <sz val="10"/>
      <color indexed="36"/>
      <name val="Arial"/>
      <family val="0"/>
    </font>
    <font>
      <sz val="8"/>
      <name val="Tahoma"/>
      <family val="0"/>
    </font>
    <font>
      <b/>
      <sz val="8"/>
      <name val="Tahoma"/>
      <family val="0"/>
    </font>
    <font>
      <sz val="8"/>
      <name val="Albany"/>
      <family val="2"/>
    </font>
    <font>
      <b/>
      <i/>
      <sz val="13.8"/>
      <color indexed="34"/>
      <name val="Albany"/>
      <family val="2"/>
    </font>
    <font>
      <sz val="10"/>
      <name val="Albany"/>
      <family val="2"/>
    </font>
    <font>
      <b/>
      <sz val="10"/>
      <name val="Albany"/>
      <family val="2"/>
    </font>
    <font>
      <b/>
      <sz val="8"/>
      <name val="Arial"/>
      <family val="2"/>
    </font>
  </fonts>
  <fills count="3">
    <fill>
      <patternFill/>
    </fill>
    <fill>
      <patternFill patternType="gray125"/>
    </fill>
    <fill>
      <patternFill patternType="solid">
        <fgColor indexed="41"/>
        <bgColor indexed="64"/>
      </patternFill>
    </fill>
  </fills>
  <borders count="1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8"/>
      </bottom>
    </border>
    <border>
      <left style="thin"/>
      <right>
        <color indexed="63"/>
      </right>
      <top>
        <color indexed="8"/>
      </top>
      <bottom>
        <color indexed="8"/>
      </bottom>
    </border>
    <border>
      <left>
        <color indexed="63"/>
      </left>
      <right style="thin"/>
      <top style="thin"/>
      <bottom style="thin"/>
    </border>
    <border>
      <left>
        <color indexed="63"/>
      </left>
      <right style="thin"/>
      <top>
        <color indexed="8"/>
      </top>
      <bottom>
        <color indexed="8"/>
      </bottom>
    </border>
    <border>
      <left style="thin"/>
      <right style="thin"/>
      <top style="thin"/>
      <bottom style="thin"/>
    </border>
    <border>
      <left style="thin"/>
      <right style="thin"/>
      <top>
        <color indexed="63"/>
      </top>
      <bottom>
        <color indexed="8"/>
      </bottom>
    </border>
    <border>
      <left style="thin"/>
      <right style="thin"/>
      <top>
        <color indexed="8"/>
      </top>
      <bottom>
        <color indexed="8"/>
      </bottom>
    </border>
    <border>
      <left style="thin"/>
      <right style="thin"/>
      <top>
        <color indexed="8"/>
      </top>
      <bottom style="thin"/>
    </border>
    <border>
      <left>
        <color indexed="63"/>
      </left>
      <right style="thin"/>
      <top>
        <color indexed="63"/>
      </top>
      <bottom>
        <color indexed="8"/>
      </bottom>
    </border>
    <border>
      <left>
        <color indexed="63"/>
      </left>
      <right style="thin"/>
      <top>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Alignment="1">
      <alignment/>
    </xf>
    <xf numFmtId="0" fontId="2" fillId="0" borderId="0" xfId="0" applyAlignment="1">
      <alignment/>
    </xf>
    <xf numFmtId="0" fontId="3" fillId="0" borderId="0" xfId="0" applyAlignment="1">
      <alignment/>
    </xf>
    <xf numFmtId="180" fontId="2" fillId="0" borderId="0" xfId="0" applyAlignment="1">
      <alignment/>
    </xf>
    <xf numFmtId="0" fontId="5" fillId="0" borderId="0" xfId="0" applyAlignment="1">
      <alignment/>
    </xf>
    <xf numFmtId="1" fontId="5" fillId="0" borderId="0" xfId="0" applyAlignment="1">
      <alignment/>
    </xf>
    <xf numFmtId="1" fontId="4" fillId="0" borderId="0" xfId="0" applyAlignment="1">
      <alignment/>
    </xf>
    <xf numFmtId="0" fontId="0" fillId="0" borderId="0" xfId="0" applyAlignment="1">
      <alignment/>
    </xf>
    <xf numFmtId="182" fontId="2" fillId="0" borderId="0" xfId="0" applyAlignment="1">
      <alignment/>
    </xf>
    <xf numFmtId="183" fontId="2" fillId="0" borderId="0" xfId="0" applyAlignment="1">
      <alignment/>
    </xf>
    <xf numFmtId="184" fontId="2" fillId="0" borderId="0" xfId="0" applyAlignment="1">
      <alignment/>
    </xf>
    <xf numFmtId="182" fontId="12" fillId="0" borderId="0" xfId="0" applyAlignment="1">
      <alignment/>
    </xf>
    <xf numFmtId="4" fontId="2" fillId="0" borderId="0" xfId="0" applyAlignment="1">
      <alignment/>
    </xf>
    <xf numFmtId="4" fontId="3" fillId="0" borderId="0" xfId="0" applyAlignment="1">
      <alignment/>
    </xf>
    <xf numFmtId="186" fontId="2" fillId="0" borderId="0" xfId="0" applyAlignment="1">
      <alignment/>
    </xf>
    <xf numFmtId="0" fontId="18" fillId="0" borderId="0" xfId="0" applyFont="1" applyAlignment="1">
      <alignment/>
    </xf>
    <xf numFmtId="11" fontId="18" fillId="0" borderId="0" xfId="0" applyNumberFormat="1" applyFont="1" applyAlignment="1">
      <alignment/>
    </xf>
    <xf numFmtId="0" fontId="18" fillId="0" borderId="0" xfId="0" applyFont="1" applyAlignment="1">
      <alignment horizontal="right"/>
    </xf>
    <xf numFmtId="2" fontId="18" fillId="0" borderId="0" xfId="0" applyNumberFormat="1" applyFont="1" applyAlignment="1">
      <alignment/>
    </xf>
    <xf numFmtId="2" fontId="0" fillId="0" borderId="0" xfId="0" applyNumberFormat="1" applyAlignment="1">
      <alignment/>
    </xf>
    <xf numFmtId="181" fontId="0" fillId="0" borderId="0" xfId="0" applyNumberFormat="1" applyAlignment="1">
      <alignment/>
    </xf>
    <xf numFmtId="181" fontId="18" fillId="0" borderId="0" xfId="0" applyNumberFormat="1" applyFont="1" applyAlignment="1">
      <alignment/>
    </xf>
    <xf numFmtId="2" fontId="5" fillId="0" borderId="0" xfId="0" applyNumberFormat="1" applyAlignment="1">
      <alignment/>
    </xf>
    <xf numFmtId="0" fontId="3" fillId="0" borderId="0" xfId="0" applyFont="1" applyAlignment="1">
      <alignment/>
    </xf>
    <xf numFmtId="0" fontId="18" fillId="0" borderId="0" xfId="0" applyFont="1" applyAlignment="1">
      <alignment/>
    </xf>
    <xf numFmtId="182" fontId="3" fillId="0" borderId="0" xfId="0" applyFont="1" applyAlignment="1">
      <alignment/>
    </xf>
    <xf numFmtId="183" fontId="3" fillId="0" borderId="0" xfId="0" applyFont="1" applyAlignment="1">
      <alignment/>
    </xf>
    <xf numFmtId="4" fontId="3" fillId="0" borderId="0" xfId="0" applyFont="1" applyAlignment="1">
      <alignment/>
    </xf>
    <xf numFmtId="0" fontId="18" fillId="0" borderId="0" xfId="0" applyFont="1" applyAlignment="1">
      <alignment/>
    </xf>
    <xf numFmtId="184" fontId="3" fillId="0" borderId="0" xfId="0" applyFont="1" applyAlignment="1">
      <alignment/>
    </xf>
    <xf numFmtId="0" fontId="18" fillId="0" borderId="0" xfId="0" applyFont="1" applyFill="1" applyBorder="1" applyAlignment="1">
      <alignment/>
    </xf>
    <xf numFmtId="0" fontId="19" fillId="0" borderId="0" xfId="20" applyAlignment="1">
      <alignment/>
    </xf>
    <xf numFmtId="182" fontId="2" fillId="0" borderId="0" xfId="0" applyFont="1" applyAlignment="1">
      <alignment/>
    </xf>
    <xf numFmtId="0" fontId="0" fillId="0" borderId="1" xfId="0" applyBorder="1" applyAlignment="1">
      <alignment/>
    </xf>
    <xf numFmtId="0" fontId="0" fillId="0" borderId="2" xfId="0" applyBorder="1" applyAlignment="1">
      <alignment/>
    </xf>
    <xf numFmtId="0" fontId="18" fillId="0" borderId="3" xfId="0" applyFont="1" applyBorder="1" applyAlignment="1">
      <alignment/>
    </xf>
    <xf numFmtId="1" fontId="4" fillId="0" borderId="0" xfId="0" applyFont="1" applyAlignment="1">
      <alignment/>
    </xf>
    <xf numFmtId="3" fontId="2" fillId="0" borderId="0" xfId="0" applyNumberFormat="1" applyAlignment="1">
      <alignment horizontal="center"/>
    </xf>
    <xf numFmtId="182" fontId="2" fillId="0" borderId="0" xfId="0" applyAlignment="1">
      <alignment horizontal="center"/>
    </xf>
    <xf numFmtId="182" fontId="2" fillId="0" borderId="0" xfId="0" applyBorder="1" applyAlignment="1">
      <alignment/>
    </xf>
    <xf numFmtId="0" fontId="3" fillId="0" borderId="0" xfId="0" applyBorder="1" applyAlignment="1">
      <alignment/>
    </xf>
    <xf numFmtId="182" fontId="2"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82" fontId="2" fillId="0" borderId="0" xfId="0" applyFont="1" applyBorder="1" applyAlignment="1">
      <alignment/>
    </xf>
    <xf numFmtId="185" fontId="13" fillId="0" borderId="0" xfId="0" applyBorder="1" applyAlignment="1">
      <alignment/>
    </xf>
    <xf numFmtId="182" fontId="2" fillId="0" borderId="0" xfId="0" applyBorder="1" applyAlignment="1">
      <alignment/>
    </xf>
    <xf numFmtId="182" fontId="12" fillId="0" borderId="0" xfId="0" applyFont="1" applyBorder="1" applyAlignment="1">
      <alignment/>
    </xf>
    <xf numFmtId="0" fontId="0" fillId="0" borderId="5" xfId="0" applyFont="1" applyBorder="1" applyAlignment="1">
      <alignment/>
    </xf>
    <xf numFmtId="182" fontId="2" fillId="0" borderId="0" xfId="0" applyBorder="1" applyAlignment="1">
      <alignment/>
    </xf>
    <xf numFmtId="0" fontId="0" fillId="0" borderId="8" xfId="0" applyBorder="1" applyAlignment="1">
      <alignment/>
    </xf>
    <xf numFmtId="0" fontId="2" fillId="0" borderId="9" xfId="0" applyFont="1" applyBorder="1" applyAlignment="1">
      <alignment/>
    </xf>
    <xf numFmtId="0" fontId="2" fillId="0" borderId="10" xfId="0" applyBorder="1" applyAlignment="1">
      <alignment/>
    </xf>
    <xf numFmtId="182" fontId="2" fillId="0" borderId="11" xfId="0" applyFont="1" applyBorder="1" applyAlignment="1">
      <alignment/>
    </xf>
    <xf numFmtId="182" fontId="2" fillId="0" borderId="12" xfId="0" applyBorder="1" applyAlignment="1">
      <alignment/>
    </xf>
    <xf numFmtId="182" fontId="2" fillId="0" borderId="13" xfId="0" applyFont="1" applyBorder="1" applyAlignment="1">
      <alignment/>
    </xf>
    <xf numFmtId="185" fontId="13" fillId="2" borderId="14" xfId="0" applyFill="1" applyBorder="1" applyAlignment="1">
      <alignment/>
    </xf>
    <xf numFmtId="185" fontId="13" fillId="2" borderId="15" xfId="0" applyFill="1" applyBorder="1" applyAlignment="1">
      <alignment/>
    </xf>
    <xf numFmtId="0" fontId="13" fillId="2" borderId="15" xfId="0" applyFill="1" applyBorder="1" applyAlignment="1">
      <alignment/>
    </xf>
    <xf numFmtId="3" fontId="13" fillId="2" borderId="15" xfId="0" applyNumberFormat="1" applyFill="1" applyBorder="1" applyAlignment="1">
      <alignment/>
    </xf>
    <xf numFmtId="3" fontId="13" fillId="2" borderId="16" xfId="0" applyNumberFormat="1" applyFill="1" applyBorder="1" applyAlignment="1">
      <alignment/>
    </xf>
    <xf numFmtId="182" fontId="2" fillId="0" borderId="15" xfId="0" applyBorder="1" applyAlignment="1">
      <alignment/>
    </xf>
    <xf numFmtId="0" fontId="27" fillId="0" borderId="11" xfId="0" applyFont="1" applyBorder="1" applyAlignment="1">
      <alignment/>
    </xf>
    <xf numFmtId="185" fontId="28" fillId="0" borderId="17" xfId="0" applyFont="1" applyBorder="1" applyAlignment="1">
      <alignment/>
    </xf>
    <xf numFmtId="185" fontId="28" fillId="0" borderId="12" xfId="0" applyFont="1" applyBorder="1" applyAlignment="1">
      <alignment/>
    </xf>
    <xf numFmtId="3" fontId="28" fillId="0" borderId="12" xfId="0" applyNumberFormat="1" applyFont="1" applyBorder="1" applyAlignment="1">
      <alignment/>
    </xf>
    <xf numFmtId="3" fontId="28" fillId="0" borderId="18" xfId="0" applyNumberFormat="1" applyFont="1" applyBorder="1" applyAlignment="1">
      <alignment/>
    </xf>
    <xf numFmtId="0" fontId="0" fillId="0" borderId="13" xfId="0" applyBorder="1" applyAlignment="1">
      <alignment/>
    </xf>
    <xf numFmtId="183" fontId="2" fillId="0" borderId="14" xfId="0" applyFont="1" applyBorder="1" applyAlignment="1">
      <alignment/>
    </xf>
    <xf numFmtId="183" fontId="2" fillId="0" borderId="15" xfId="0" applyBorder="1" applyAlignment="1">
      <alignment/>
    </xf>
    <xf numFmtId="183" fontId="2" fillId="0" borderId="15" xfId="0" applyFont="1" applyBorder="1" applyAlignment="1">
      <alignment/>
    </xf>
    <xf numFmtId="183" fontId="2" fillId="0" borderId="16" xfId="0" applyBorder="1" applyAlignment="1">
      <alignment/>
    </xf>
    <xf numFmtId="0" fontId="27" fillId="0" borderId="13" xfId="0" applyFont="1" applyBorder="1" applyAlignment="1">
      <alignment/>
    </xf>
    <xf numFmtId="185" fontId="28" fillId="0" borderId="14" xfId="0" applyFont="1" applyBorder="1" applyAlignment="1">
      <alignment/>
    </xf>
    <xf numFmtId="185" fontId="28" fillId="0" borderId="15" xfId="0" applyFont="1" applyBorder="1" applyAlignment="1">
      <alignment/>
    </xf>
    <xf numFmtId="0" fontId="0" fillId="0" borderId="1" xfId="0" applyFont="1" applyBorder="1" applyAlignment="1">
      <alignment/>
    </xf>
    <xf numFmtId="3" fontId="28" fillId="0" borderId="15" xfId="0" applyNumberFormat="1" applyFont="1" applyBorder="1" applyAlignment="1">
      <alignment/>
    </xf>
    <xf numFmtId="3" fontId="28" fillId="0" borderId="16" xfId="0" applyNumberFormat="1" applyFont="1" applyBorder="1" applyAlignment="1">
      <alignment/>
    </xf>
    <xf numFmtId="185" fontId="13" fillId="2" borderId="17" xfId="0" applyFill="1" applyBorder="1" applyAlignment="1" applyProtection="1">
      <alignment/>
      <protection locked="0"/>
    </xf>
    <xf numFmtId="185" fontId="13" fillId="2" borderId="14" xfId="0" applyFill="1" applyBorder="1" applyAlignment="1" applyProtection="1">
      <alignment/>
      <protection locked="0"/>
    </xf>
    <xf numFmtId="185" fontId="13" fillId="2" borderId="15" xfId="0" applyFill="1" applyBorder="1" applyAlignment="1" applyProtection="1">
      <alignment/>
      <protection locked="0"/>
    </xf>
    <xf numFmtId="0" fontId="13" fillId="2" borderId="15" xfId="0" applyFill="1" applyBorder="1" applyAlignment="1" applyProtection="1">
      <alignment/>
      <protection locked="0"/>
    </xf>
    <xf numFmtId="3" fontId="13" fillId="2" borderId="15" xfId="0" applyNumberFormat="1" applyFill="1" applyBorder="1" applyAlignment="1" applyProtection="1">
      <alignment/>
      <protection locked="0"/>
    </xf>
    <xf numFmtId="3" fontId="13" fillId="2" borderId="16" xfId="0" applyNumberFormat="1" applyFill="1" applyBorder="1" applyAlignment="1" applyProtection="1">
      <alignment/>
      <protection locked="0"/>
    </xf>
    <xf numFmtId="0" fontId="0" fillId="0" borderId="0"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0000FF"/>
      <rgbColor rgb="0000B8FF"/>
      <rgbColor rgb="00993366"/>
      <rgbColor rgb="009999FF"/>
      <rgbColor rgb="00D9D9D9"/>
      <rgbColor rgb="00FF0000"/>
      <rgbColor rgb="00FF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80" b="1" i="1" u="none" baseline="0">
                <a:solidFill>
                  <a:srgbClr val="FFFF00"/>
                </a:solidFill>
              </a:rPr>
              <a:t>RIAA Curve</a:t>
            </a:r>
          </a:p>
        </c:rich>
      </c:tx>
      <c:layout>
        <c:manualLayout>
          <c:xMode val="factor"/>
          <c:yMode val="factor"/>
          <c:x val="0.004"/>
          <c:y val="0.02325"/>
        </c:manualLayout>
      </c:layout>
      <c:spPr>
        <a:noFill/>
        <a:ln>
          <a:noFill/>
        </a:ln>
      </c:spPr>
    </c:title>
    <c:plotArea>
      <c:layout>
        <c:manualLayout>
          <c:xMode val="edge"/>
          <c:yMode val="edge"/>
          <c:x val="0.03025"/>
          <c:y val="0"/>
          <c:w val="0.9685"/>
          <c:h val="0.99225"/>
        </c:manualLayout>
      </c:layout>
      <c:lineChart>
        <c:grouping val="standard"/>
        <c:varyColors val="0"/>
        <c:ser>
          <c:idx val="0"/>
          <c:order val="0"/>
          <c:tx>
            <c:strRef>
              <c:f>riaa_curve!$G$32</c:f>
              <c:strCache>
                <c:ptCount val="1"/>
                <c:pt idx="0">
                  <c:v>Standard RIAA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65" b="0" i="0" u="none" baseline="0">
                    <a:solidFill>
                      <a:srgbClr val="000000"/>
                    </a:solidFill>
                  </a:defRPr>
                </a:pPr>
              </a:p>
            </c:txPr>
            <c:dLblPos val="t"/>
            <c:showLegendKey val="0"/>
            <c:showVal val="0"/>
            <c:showBubbleSize val="0"/>
            <c:showCatName val="0"/>
            <c:showSerName val="0"/>
            <c:showLeaderLines val="1"/>
            <c:showPercent val="0"/>
          </c:dLbls>
          <c:cat>
            <c:numRef>
              <c:f>riaa_curve!$A$33:$A$174</c:f>
              <c:numCach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cat>
          <c:val>
            <c:numRef>
              <c:f>riaa_curve!$G$33:$G$174</c:f>
              <c:numCach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val>
          <c:smooth val="0"/>
        </c:ser>
        <c:ser>
          <c:idx val="1"/>
          <c:order val="1"/>
          <c:tx>
            <c:strRef>
              <c:f>riaa_curve!$H$32</c:f>
              <c:strCache>
                <c:ptCount val="1"/>
                <c:pt idx="0">
                  <c:v>Enhanced RIAA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riaa_curve!$H$33:$H$174</c:f>
              <c:numCach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val>
          <c:smooth val="0"/>
        </c:ser>
        <c:marker val="1"/>
        <c:axId val="39537386"/>
        <c:axId val="20292155"/>
      </c:lineChart>
      <c:catAx>
        <c:axId val="39537386"/>
        <c:scaling>
          <c:orientation val="minMax"/>
        </c:scaling>
        <c:axPos val="b"/>
        <c:title>
          <c:tx>
            <c:rich>
              <a:bodyPr vert="horz" rot="0" anchor="ctr"/>
              <a:lstStyle/>
              <a:p>
                <a:pPr algn="ctr">
                  <a:defRPr/>
                </a:pPr>
                <a:r>
                  <a:rPr lang="en-US" cap="none" sz="950" b="0" i="0" u="none" baseline="0">
                    <a:solidFill>
                      <a:srgbClr val="000000"/>
                    </a:solidFill>
                  </a:rPr>
                  <a:t>Freq</a:t>
                </a:r>
              </a:p>
            </c:rich>
          </c:tx>
          <c:layout>
            <c:manualLayout>
              <c:xMode val="factor"/>
              <c:yMode val="factor"/>
              <c:x val="0.01425"/>
              <c:y val="-0.119"/>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0292155"/>
        <c:crossesAt val="0"/>
        <c:auto val="1"/>
        <c:lblOffset val="100"/>
        <c:noMultiLvlLbl val="0"/>
      </c:catAx>
      <c:valAx>
        <c:axId val="20292155"/>
        <c:scaling>
          <c:orientation val="minMax"/>
        </c:scaling>
        <c:axPos val="l"/>
        <c:title>
          <c:tx>
            <c:rich>
              <a:bodyPr vert="horz" rot="-5400000" anchor="ctr"/>
              <a:lstStyle/>
              <a:p>
                <a:pPr algn="ctr">
                  <a:defRPr/>
                </a:pPr>
                <a:r>
                  <a:rPr lang="en-US" cap="none" sz="950" b="0" i="0" u="none" baseline="0">
                    <a:solidFill>
                      <a:srgbClr val="000000"/>
                    </a:solidFill>
                  </a:rPr>
                  <a:t>dB</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780" b="0" i="0" u="none" baseline="0">
                <a:solidFill>
                  <a:srgbClr val="000000"/>
                </a:solidFill>
              </a:defRPr>
            </a:pPr>
          </a:p>
        </c:txPr>
        <c:crossAx val="39537386"/>
        <c:crossesAt val="1"/>
        <c:crossBetween val="midCat"/>
        <c:dispUnits/>
      </c:valAx>
      <c:spPr>
        <a:solidFill>
          <a:srgbClr val="D9D9D9"/>
        </a:solidFill>
        <a:ln w="3175">
          <a:noFill/>
        </a:ln>
      </c:spPr>
    </c:plotArea>
    <c:legend>
      <c:legendPos val="r"/>
      <c:layout>
        <c:manualLayout>
          <c:xMode val="edge"/>
          <c:yMode val="edge"/>
          <c:x val="0.074"/>
          <c:y val="0.82475"/>
        </c:manualLayout>
      </c:layout>
      <c:overlay val="0"/>
      <c:spPr>
        <a:solidFill>
          <a:srgbClr val="D9D9D9"/>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85" b="0" i="0" u="none" baseline="0">
                <a:solidFill>
                  <a:srgbClr val="000000"/>
                </a:solidFill>
              </a:rPr>
              <a:t>RIAA diffs (built)</a:t>
            </a:r>
          </a:p>
        </c:rich>
      </c:tx>
      <c:layout>
        <c:manualLayout>
          <c:xMode val="factor"/>
          <c:yMode val="factor"/>
          <c:x val="0.0105"/>
          <c:y val="-0.02075"/>
        </c:manualLayout>
      </c:layout>
      <c:spPr>
        <a:noFill/>
        <a:ln>
          <a:noFill/>
        </a:ln>
      </c:spPr>
    </c:title>
    <c:plotArea>
      <c:layout>
        <c:manualLayout>
          <c:xMode val="edge"/>
          <c:yMode val="edge"/>
          <c:x val="0.0105"/>
          <c:y val="0.09325"/>
          <c:w val="0.96825"/>
          <c:h val="0.8885"/>
        </c:manualLayout>
      </c:layout>
      <c:lineChart>
        <c:grouping val="standard"/>
        <c:varyColors val="0"/>
        <c:ser>
          <c:idx val="0"/>
          <c:order val="0"/>
          <c:tx>
            <c:strRef>
              <c:f>Loekie_built_1st_version!$AB$48</c:f>
              <c:strCache>
                <c:ptCount val="1"/>
                <c:pt idx="0">
                  <c:v>Loekie_eRIAA</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335" b="0" i="0" u="none" baseline="0">
                    <a:solidFill>
                      <a:srgbClr val="000000"/>
                    </a:solidFill>
                  </a:defRPr>
                </a:pPr>
              </a:p>
            </c:txPr>
            <c:dLblPos val="t"/>
            <c:showLegendKey val="0"/>
            <c:showVal val="0"/>
            <c:showBubbleSize val="0"/>
            <c:showCatName val="0"/>
            <c:showSerName val="0"/>
            <c:showLeaderLines val="1"/>
            <c:showPercent val="0"/>
          </c:dLbls>
          <c:cat>
            <c:numRef>
              <c:f>riaa_curve!$A$33:$A$174</c:f>
              <c:numCache>
                <c:ptCount val="142"/>
                <c:pt idx="0">
                  <c:v>5</c:v>
                </c:pt>
                <c:pt idx="1">
                  <c:v>5.358867312681466</c:v>
                </c:pt>
                <c:pt idx="2">
                  <c:v>5.743491774985174</c:v>
                </c:pt>
                <c:pt idx="3">
                  <c:v>6.15572206672458</c:v>
                </c:pt>
                <c:pt idx="4">
                  <c:v>6.59753955386447</c:v>
                </c:pt>
                <c:pt idx="5">
                  <c:v>7.071067811865474</c:v>
                </c:pt>
                <c:pt idx="6">
                  <c:v>7.578582832551988</c:v>
                </c:pt>
                <c:pt idx="7">
                  <c:v>8.122523963562353</c:v>
                </c:pt>
                <c:pt idx="8">
                  <c:v>8.705505632961238</c:v>
                </c:pt>
                <c:pt idx="9">
                  <c:v>9.33032991536807</c:v>
                </c:pt>
                <c:pt idx="10">
                  <c:v>9.999999999999995</c:v>
                </c:pt>
                <c:pt idx="11">
                  <c:v>10.717734625362926</c:v>
                </c:pt>
                <c:pt idx="12">
                  <c:v>11.486983549970343</c:v>
                </c:pt>
                <c:pt idx="13">
                  <c:v>12.311444133449156</c:v>
                </c:pt>
                <c:pt idx="14">
                  <c:v>13.195079107728935</c:v>
                </c:pt>
                <c:pt idx="15">
                  <c:v>14.142135623730942</c:v>
                </c:pt>
                <c:pt idx="16">
                  <c:v>15.157165665103971</c:v>
                </c:pt>
                <c:pt idx="17">
                  <c:v>16.2450479271247</c:v>
                </c:pt>
                <c:pt idx="18">
                  <c:v>17.41101126592247</c:v>
                </c:pt>
                <c:pt idx="19">
                  <c:v>18.660659830736133</c:v>
                </c:pt>
                <c:pt idx="20">
                  <c:v>19.999999999999982</c:v>
                </c:pt>
                <c:pt idx="21">
                  <c:v>21.435469250725845</c:v>
                </c:pt>
                <c:pt idx="22">
                  <c:v>22.97396709994068</c:v>
                </c:pt>
                <c:pt idx="23">
                  <c:v>24.622888266898304</c:v>
                </c:pt>
                <c:pt idx="24">
                  <c:v>26.390158215457863</c:v>
                </c:pt>
                <c:pt idx="25">
                  <c:v>28.284271247461877</c:v>
                </c:pt>
                <c:pt idx="26">
                  <c:v>30.314331330207935</c:v>
                </c:pt>
                <c:pt idx="27">
                  <c:v>32.49009585424939</c:v>
                </c:pt>
                <c:pt idx="28">
                  <c:v>34.82202253184493</c:v>
                </c:pt>
                <c:pt idx="29">
                  <c:v>37.32131966147226</c:v>
                </c:pt>
                <c:pt idx="30">
                  <c:v>39.99999999999996</c:v>
                </c:pt>
                <c:pt idx="31">
                  <c:v>42.87093850145168</c:v>
                </c:pt>
                <c:pt idx="32">
                  <c:v>45.94793419988135</c:v>
                </c:pt>
                <c:pt idx="33">
                  <c:v>49.2457765337966</c:v>
                </c:pt>
                <c:pt idx="34">
                  <c:v>52.78031643091571</c:v>
                </c:pt>
                <c:pt idx="35">
                  <c:v>56.56854249492374</c:v>
                </c:pt>
                <c:pt idx="36">
                  <c:v>60.628662660415856</c:v>
                </c:pt>
                <c:pt idx="37">
                  <c:v>64.98019170849877</c:v>
                </c:pt>
                <c:pt idx="38">
                  <c:v>69.64404506368984</c:v>
                </c:pt>
                <c:pt idx="39">
                  <c:v>74.6426393229445</c:v>
                </c:pt>
                <c:pt idx="40">
                  <c:v>79.9999999999999</c:v>
                </c:pt>
                <c:pt idx="41">
                  <c:v>85.74187700290334</c:v>
                </c:pt>
                <c:pt idx="42">
                  <c:v>91.89586839976268</c:v>
                </c:pt>
                <c:pt idx="43">
                  <c:v>98.49155306759317</c:v>
                </c:pt>
                <c:pt idx="44">
                  <c:v>105.5606328618314</c:v>
                </c:pt>
                <c:pt idx="45">
                  <c:v>113.13708498984744</c:v>
                </c:pt>
                <c:pt idx="46">
                  <c:v>121.25732532083167</c:v>
                </c:pt>
                <c:pt idx="47">
                  <c:v>129.9603834169975</c:v>
                </c:pt>
                <c:pt idx="48">
                  <c:v>139.28809012737966</c:v>
                </c:pt>
                <c:pt idx="49">
                  <c:v>149.28527864588898</c:v>
                </c:pt>
                <c:pt idx="50">
                  <c:v>159.99999999999977</c:v>
                </c:pt>
                <c:pt idx="51">
                  <c:v>171.48375400580665</c:v>
                </c:pt>
                <c:pt idx="52">
                  <c:v>183.79173679952532</c:v>
                </c:pt>
                <c:pt idx="53">
                  <c:v>196.9831061351863</c:v>
                </c:pt>
                <c:pt idx="54">
                  <c:v>211.12126572366273</c:v>
                </c:pt>
                <c:pt idx="55">
                  <c:v>226.27416997969482</c:v>
                </c:pt>
                <c:pt idx="56">
                  <c:v>242.51465064166328</c:v>
                </c:pt>
                <c:pt idx="57">
                  <c:v>259.9207668339949</c:v>
                </c:pt>
                <c:pt idx="58">
                  <c:v>278.5761802547592</c:v>
                </c:pt>
                <c:pt idx="59">
                  <c:v>298.5705572917778</c:v>
                </c:pt>
                <c:pt idx="60">
                  <c:v>319.9999999999994</c:v>
                </c:pt>
                <c:pt idx="61">
                  <c:v>342.9675080116131</c:v>
                </c:pt>
                <c:pt idx="62">
                  <c:v>367.5834735990504</c:v>
                </c:pt>
                <c:pt idx="63">
                  <c:v>393.96621227037235</c:v>
                </c:pt>
                <c:pt idx="64">
                  <c:v>422.24253144732523</c:v>
                </c:pt>
                <c:pt idx="65">
                  <c:v>452.5483399593894</c:v>
                </c:pt>
                <c:pt idx="66">
                  <c:v>485.0293012833263</c:v>
                </c:pt>
                <c:pt idx="67">
                  <c:v>519.8415336679896</c:v>
                </c:pt>
                <c:pt idx="68">
                  <c:v>557.1523605095182</c:v>
                </c:pt>
                <c:pt idx="69">
                  <c:v>597.1411145835553</c:v>
                </c:pt>
                <c:pt idx="70">
                  <c:v>639.9999999999985</c:v>
                </c:pt>
                <c:pt idx="71">
                  <c:v>685.935016023226</c:v>
                </c:pt>
                <c:pt idx="72">
                  <c:v>735.1669471981006</c:v>
                </c:pt>
                <c:pt idx="73">
                  <c:v>787.9324245407445</c:v>
                </c:pt>
                <c:pt idx="74">
                  <c:v>844.4850628946502</c:v>
                </c:pt>
                <c:pt idx="75">
                  <c:v>905.0966799187786</c:v>
                </c:pt>
                <c:pt idx="76">
                  <c:v>970.0586025666523</c:v>
                </c:pt>
                <c:pt idx="77">
                  <c:v>1039.6830673359789</c:v>
                </c:pt>
                <c:pt idx="78">
                  <c:v>1114.3047210190362</c:v>
                </c:pt>
                <c:pt idx="79">
                  <c:v>1194.2822291671105</c:v>
                </c:pt>
                <c:pt idx="80">
                  <c:v>1279.9999999999968</c:v>
                </c:pt>
                <c:pt idx="81">
                  <c:v>1371.8700320464518</c:v>
                </c:pt>
                <c:pt idx="82">
                  <c:v>1470.333894396201</c:v>
                </c:pt>
                <c:pt idx="83">
                  <c:v>1575.8648490814887</c:v>
                </c:pt>
                <c:pt idx="84">
                  <c:v>1688.9701257893003</c:v>
                </c:pt>
                <c:pt idx="85">
                  <c:v>1810.193359837557</c:v>
                </c:pt>
                <c:pt idx="86">
                  <c:v>1940.1172051333044</c:v>
                </c:pt>
                <c:pt idx="87">
                  <c:v>2079.3661346719573</c:v>
                </c:pt>
                <c:pt idx="88">
                  <c:v>2228.609442038072</c:v>
                </c:pt>
                <c:pt idx="89">
                  <c:v>2388.5644583342205</c:v>
                </c:pt>
                <c:pt idx="90">
                  <c:v>2559.999999999993</c:v>
                </c:pt>
                <c:pt idx="91">
                  <c:v>2743.740064092903</c:v>
                </c:pt>
                <c:pt idx="92">
                  <c:v>2940.6677887924016</c:v>
                </c:pt>
                <c:pt idx="93">
                  <c:v>3151.729698162977</c:v>
                </c:pt>
                <c:pt idx="94">
                  <c:v>3377.9402515786</c:v>
                </c:pt>
                <c:pt idx="95">
                  <c:v>3620.3867196751135</c:v>
                </c:pt>
                <c:pt idx="96">
                  <c:v>3880.2344102666084</c:v>
                </c:pt>
                <c:pt idx="97">
                  <c:v>4158.732269343915</c:v>
                </c:pt>
                <c:pt idx="98">
                  <c:v>4457.218884076144</c:v>
                </c:pt>
                <c:pt idx="99">
                  <c:v>4777.128916668441</c:v>
                </c:pt>
                <c:pt idx="100">
                  <c:v>5119.999999999986</c:v>
                </c:pt>
                <c:pt idx="101">
                  <c:v>5487.480128185806</c:v>
                </c:pt>
                <c:pt idx="102">
                  <c:v>5881.335577584803</c:v>
                </c:pt>
                <c:pt idx="103">
                  <c:v>6303.459396325954</c:v>
                </c:pt>
                <c:pt idx="104">
                  <c:v>6755.8805031572</c:v>
                </c:pt>
                <c:pt idx="105">
                  <c:v>7240.773439350227</c:v>
                </c:pt>
                <c:pt idx="106">
                  <c:v>7760.468820533217</c:v>
                </c:pt>
                <c:pt idx="107">
                  <c:v>8317.46453868783</c:v>
                </c:pt>
                <c:pt idx="108">
                  <c:v>8914.437768152287</c:v>
                </c:pt>
                <c:pt idx="109">
                  <c:v>9554.257833336882</c:v>
                </c:pt>
                <c:pt idx="110">
                  <c:v>10239.999999999973</c:v>
                </c:pt>
                <c:pt idx="111">
                  <c:v>10974.960256371613</c:v>
                </c:pt>
                <c:pt idx="112">
                  <c:v>11762.671155169606</c:v>
                </c:pt>
                <c:pt idx="113">
                  <c:v>12606.918792651908</c:v>
                </c:pt>
                <c:pt idx="114">
                  <c:v>13511.7610063144</c:v>
                </c:pt>
                <c:pt idx="115">
                  <c:v>14481.546878700454</c:v>
                </c:pt>
                <c:pt idx="116">
                  <c:v>15520.937641066434</c:v>
                </c:pt>
                <c:pt idx="117">
                  <c:v>16634.92907737566</c:v>
                </c:pt>
                <c:pt idx="118">
                  <c:v>17828.875536304575</c:v>
                </c:pt>
                <c:pt idx="119">
                  <c:v>19108.515666673764</c:v>
                </c:pt>
                <c:pt idx="120">
                  <c:v>20479.999999999945</c:v>
                </c:pt>
                <c:pt idx="121">
                  <c:v>21949.920512743225</c:v>
                </c:pt>
                <c:pt idx="122">
                  <c:v>23525.342310339212</c:v>
                </c:pt>
                <c:pt idx="123">
                  <c:v>25213.837585303816</c:v>
                </c:pt>
                <c:pt idx="124">
                  <c:v>27023.5220126288</c:v>
                </c:pt>
                <c:pt idx="125">
                  <c:v>28963.093757400908</c:v>
                </c:pt>
                <c:pt idx="126">
                  <c:v>31041.875282132867</c:v>
                </c:pt>
                <c:pt idx="127">
                  <c:v>33269.85815475132</c:v>
                </c:pt>
                <c:pt idx="128">
                  <c:v>35657.75107260915</c:v>
                </c:pt>
                <c:pt idx="129">
                  <c:v>38217.03133334753</c:v>
                </c:pt>
                <c:pt idx="130">
                  <c:v>40959.99999999989</c:v>
                </c:pt>
                <c:pt idx="131">
                  <c:v>43899.84102548645</c:v>
                </c:pt>
                <c:pt idx="132">
                  <c:v>47050.684620678425</c:v>
                </c:pt>
                <c:pt idx="133">
                  <c:v>50427.67517060763</c:v>
                </c:pt>
                <c:pt idx="134">
                  <c:v>54047.0440252576</c:v>
                </c:pt>
                <c:pt idx="135">
                  <c:v>57926.187514801815</c:v>
                </c:pt>
                <c:pt idx="136">
                  <c:v>62083.750564265734</c:v>
                </c:pt>
                <c:pt idx="137">
                  <c:v>66539.71630950263</c:v>
                </c:pt>
                <c:pt idx="138">
                  <c:v>71315.5021452183</c:v>
                </c:pt>
                <c:pt idx="139">
                  <c:v>76434.06266669506</c:v>
                </c:pt>
                <c:pt idx="140">
                  <c:v>81919.99999999978</c:v>
                </c:pt>
                <c:pt idx="141">
                  <c:v>87799.6820509729</c:v>
                </c:pt>
              </c:numCache>
            </c:numRef>
          </c:cat>
          <c:val>
            <c:numRef>
              <c:f>Loekie_built_1st_version!$AB$49:$AB$190</c:f>
              <c:numCache>
                <c:ptCount val="142"/>
                <c:pt idx="0">
                  <c:v>1.2039557938613434</c:v>
                </c:pt>
                <c:pt idx="1">
                  <c:v>1.2015728799642034</c:v>
                </c:pt>
                <c:pt idx="2">
                  <c:v>1.1988458732491374</c:v>
                </c:pt>
                <c:pt idx="3">
                  <c:v>1.1957267983027897</c:v>
                </c:pt>
                <c:pt idx="4">
                  <c:v>1.1921615240980294</c:v>
                </c:pt>
                <c:pt idx="5">
                  <c:v>1.1880891407712895</c:v>
                </c:pt>
                <c:pt idx="6">
                  <c:v>1.1834413270698612</c:v>
                </c:pt>
                <c:pt idx="7">
                  <c:v>1.1781417289526068</c:v>
                </c:pt>
                <c:pt idx="8">
                  <c:v>1.172105377679621</c:v>
                </c:pt>
                <c:pt idx="9">
                  <c:v>1.1652381853390494</c:v>
                </c:pt>
                <c:pt idx="10">
                  <c:v>1.1574365672167666</c:v>
                </c:pt>
                <c:pt idx="11">
                  <c:v>1.1485872536408337</c:v>
                </c:pt>
                <c:pt idx="12">
                  <c:v>1.1385673685891184</c:v>
                </c:pt>
                <c:pt idx="13">
                  <c:v>1.1272448677185416</c:v>
                </c:pt>
                <c:pt idx="14">
                  <c:v>1.1144794432942398</c:v>
                </c:pt>
                <c:pt idx="15">
                  <c:v>1.1001240158216703</c:v>
                </c:pt>
                <c:pt idx="16">
                  <c:v>1.084026939220518</c:v>
                </c:pt>
                <c:pt idx="17">
                  <c:v>1.0660350444336828</c:v>
                </c:pt>
                <c:pt idx="18">
                  <c:v>1.0459976309157852</c:v>
                </c:pt>
                <c:pt idx="19">
                  <c:v>1.0237714814531174</c:v>
                </c:pt>
                <c:pt idx="20">
                  <c:v>0.999226918363</c:v>
                </c:pt>
                <c:pt idx="21">
                  <c:v>0.9722548346897071</c:v>
                </c:pt>
                <c:pt idx="22">
                  <c:v>0.9427745217712271</c:v>
                </c:pt>
                <c:pt idx="23">
                  <c:v>0.9107419783718065</c:v>
                </c:pt>
                <c:pt idx="24">
                  <c:v>0.876158236814927</c:v>
                </c:pt>
                <c:pt idx="25">
                  <c:v>0.8390770961637806</c:v>
                </c:pt>
                <c:pt idx="26">
                  <c:v>0.799611536710092</c:v>
                </c:pt>
                <c:pt idx="27">
                  <c:v>0.7579380337590962</c:v>
                </c:pt>
                <c:pt idx="28">
                  <c:v>0.7142980212825591</c:v>
                </c:pt>
                <c:pt idx="29">
                  <c:v>0.6689958987303974</c:v>
                </c:pt>
                <c:pt idx="30">
                  <c:v>0.6223932320800394</c:v>
                </c:pt>
                <c:pt idx="31">
                  <c:v>0.5748991551986187</c:v>
                </c:pt>
                <c:pt idx="32">
                  <c:v>0.5269573873409534</c:v>
                </c:pt>
                <c:pt idx="33">
                  <c:v>0.47903068510842317</c:v>
                </c:pt>
                <c:pt idx="34">
                  <c:v>0.4315838727983845</c:v>
                </c:pt>
                <c:pt idx="35">
                  <c:v>0.3850667826834382</c:v>
                </c:pt>
                <c:pt idx="36">
                  <c:v>0.33989844951350534</c:v>
                </c:pt>
                <c:pt idx="37">
                  <c:v>0.29645373879832526</c:v>
                </c:pt>
                <c:pt idx="38">
                  <c:v>0.2550532784976305</c:v>
                </c:pt>
                <c:pt idx="39">
                  <c:v>0.21595716706841728</c:v>
                </c:pt>
                <c:pt idx="40">
                  <c:v>0.17936251678319692</c:v>
                </c:pt>
                <c:pt idx="41">
                  <c:v>0.14540452375710444</c:v>
                </c:pt>
                <c:pt idx="42">
                  <c:v>0.11416048088277542</c:v>
                </c:pt>
                <c:pt idx="43">
                  <c:v>0.08565598825246923</c:v>
                </c:pt>
                <c:pt idx="44">
                  <c:v>0.05987256563717125</c:v>
                </c:pt>
                <c:pt idx="45">
                  <c:v>0.03675591376800824</c:v>
                </c:pt>
                <c:pt idx="46">
                  <c:v>0.01622417690441047</c:v>
                </c:pt>
                <c:pt idx="47">
                  <c:v>-0.0018243015965548892</c:v>
                </c:pt>
                <c:pt idx="48">
                  <c:v>-0.017504092126502613</c:v>
                </c:pt>
                <c:pt idx="49">
                  <c:v>-0.030936885636764444</c:v>
                </c:pt>
                <c:pt idx="50">
                  <c:v>-0.04224690588308988</c:v>
                </c:pt>
                <c:pt idx="51">
                  <c:v>-0.05155755014729024</c:v>
                </c:pt>
                <c:pt idx="52">
                  <c:v>-0.058989217430177376</c:v>
                </c:pt>
                <c:pt idx="53">
                  <c:v>-0.06465823893211997</c:v>
                </c:pt>
                <c:pt idx="54">
                  <c:v>-0.06867679535548632</c:v>
                </c:pt>
                <c:pt idx="55">
                  <c:v>-0.0711536831393893</c:v>
                </c:pt>
                <c:pt idx="56">
                  <c:v>-0.072195772143969</c:v>
                </c:pt>
                <c:pt idx="57">
                  <c:v>-0.07190997733816928</c:v>
                </c:pt>
                <c:pt idx="58">
                  <c:v>-0.07040554587207204</c:v>
                </c:pt>
                <c:pt idx="59">
                  <c:v>-0.0677964403427147</c:v>
                </c:pt>
                <c:pt idx="60">
                  <c:v>-0.06420358341932797</c:v>
                </c:pt>
                <c:pt idx="61">
                  <c:v>-0.05975672448183289</c:v>
                </c:pt>
                <c:pt idx="62">
                  <c:v>-0.054595702307567606</c:v>
                </c:pt>
                <c:pt idx="63">
                  <c:v>-0.04887091458368786</c:v>
                </c:pt>
                <c:pt idx="64">
                  <c:v>-0.04274286715912723</c:v>
                </c:pt>
                <c:pt idx="65">
                  <c:v>-0.036380760306101934</c:v>
                </c:pt>
                <c:pt idx="66">
                  <c:v>-0.029960166723654424</c:v>
                </c:pt>
                <c:pt idx="67">
                  <c:v>-0.023659952480826973</c:v>
                </c:pt>
                <c:pt idx="68">
                  <c:v>-0.017658671176413065</c:v>
                </c:pt>
                <c:pt idx="69">
                  <c:v>-0.012130708562533954</c:v>
                </c:pt>
                <c:pt idx="70">
                  <c:v>-0.007242460702290288</c:v>
                </c:pt>
                <c:pt idx="71">
                  <c:v>-0.0031487928045415003</c:v>
                </c:pt>
                <c:pt idx="72">
                  <c:v>1.0043479150567691E-05</c:v>
                </c:pt>
                <c:pt idx="73">
                  <c:v>0.0021109440287894188</c:v>
                </c:pt>
                <c:pt idx="74">
                  <c:v>0.00304993445850954</c:v>
                </c:pt>
                <c:pt idx="75">
                  <c:v>0.0027436670890068626</c:v>
                </c:pt>
                <c:pt idx="76">
                  <c:v>0.0011305385516955369</c:v>
                </c:pt>
                <c:pt idx="77">
                  <c:v>-0.001828462841988454</c:v>
                </c:pt>
                <c:pt idx="78">
                  <c:v>-0.006149102090670766</c:v>
                </c:pt>
                <c:pt idx="79">
                  <c:v>-0.011823414781741093</c:v>
                </c:pt>
                <c:pt idx="80">
                  <c:v>-0.01881944813338876</c:v>
                </c:pt>
                <c:pt idx="81">
                  <c:v>-0.027081346977002596</c:v>
                </c:pt>
                <c:pt idx="82">
                  <c:v>-0.03652995763705036</c:v>
                </c:pt>
                <c:pt idx="83">
                  <c:v>-0.04706414244969537</c:v>
                </c:pt>
                <c:pt idx="84">
                  <c:v>-0.05856297607094518</c:v>
                </c:pt>
                <c:pt idx="85">
                  <c:v>-0.07088892954358883</c:v>
                </c:pt>
                <c:pt idx="86">
                  <c:v>-0.08389204593091293</c:v>
                </c:pt>
                <c:pt idx="87">
                  <c:v>-0.09741498757776768</c:v>
                </c:pt>
                <c:pt idx="88">
                  <c:v>-0.1112987116274553</c:v>
                </c:pt>
                <c:pt idx="89">
                  <c:v>-0.12538843127151367</c:v>
                </c:pt>
                <c:pt idx="90">
                  <c:v>-0.1395394657194906</c:v>
                </c:pt>
                <c:pt idx="91">
                  <c:v>-0.15362258367674286</c:v>
                </c:pt>
                <c:pt idx="92">
                  <c:v>-0.16752850307177525</c:v>
                </c:pt>
                <c:pt idx="93">
                  <c:v>-0.18117131223888094</c:v>
                </c:pt>
                <c:pt idx="94">
                  <c:v>-0.19449070495532084</c:v>
                </c:pt>
                <c:pt idx="95">
                  <c:v>-0.2074530510367225</c:v>
                </c:pt>
                <c:pt idx="96">
                  <c:v>-0.22005143555882611</c:v>
                </c:pt>
                <c:pt idx="97">
                  <c:v>-0.23230487963427038</c:v>
                </c:pt>
                <c:pt idx="98">
                  <c:v>-0.24425699853229332</c:v>
                </c:pt>
                <c:pt idx="99">
                  <c:v>-0.25597436066622237</c:v>
                </c:pt>
                <c:pt idx="100">
                  <c:v>-0.2675447906404109</c:v>
                </c:pt>
                <c:pt idx="101">
                  <c:v>-0.27907582062502456</c:v>
                </c:pt>
                <c:pt idx="102">
                  <c:v>-0.29069344628155847</c:v>
                </c:pt>
                <c:pt idx="103">
                  <c:v>-0.3025412940917569</c:v>
                </c:pt>
                <c:pt idx="104">
                  <c:v>-0.3147802615884778</c:v>
                </c:pt>
                <c:pt idx="105">
                  <c:v>-0.327588653469693</c:v>
                </c:pt>
                <c:pt idx="106">
                  <c:v>-0.3411628055990512</c:v>
                </c:pt>
                <c:pt idx="107">
                  <c:v>-0.3557181646302219</c:v>
                </c:pt>
                <c:pt idx="108">
                  <c:v>-0.37149077167448397</c:v>
                </c:pt>
                <c:pt idx="109">
                  <c:v>-0.38873908185762573</c:v>
                </c:pt>
                <c:pt idx="110">
                  <c:v>-0.4077460354998159</c:v>
                </c:pt>
                <c:pt idx="111">
                  <c:v>-0.4288212788690906</c:v>
                </c:pt>
                <c:pt idx="112">
                  <c:v>-0.45230341119182427</c:v>
                </c:pt>
                <c:pt idx="113">
                  <c:v>-0.47856210846486746</c:v>
                </c:pt>
                <c:pt idx="114">
                  <c:v>-0.507999942787432</c:v>
                </c:pt>
                <c:pt idx="115">
                  <c:v>-0.5410536783218056</c:v>
                </c:pt>
                <c:pt idx="116">
                  <c:v>-0.5781947824892661</c:v>
                </c:pt>
                <c:pt idx="117">
                  <c:v>-0.6199288457714083</c:v>
                </c:pt>
                <c:pt idx="118">
                  <c:v>-0.6667935593178562</c:v>
                </c:pt>
                <c:pt idx="119">
                  <c:v>-0.7193548622740273</c:v>
                </c:pt>
                <c:pt idx="120">
                  <c:v>-0.778200848398594</c:v>
                </c:pt>
                <c:pt idx="121">
                  <c:v>-0.8439330245297789</c:v>
                </c:pt>
                <c:pt idx="122">
                  <c:v>-0.9171545540353669</c:v>
                </c:pt>
                <c:pt idx="123">
                  <c:v>-0.9984552096546615</c:v>
                </c:pt>
                <c:pt idx="124">
                  <c:v>-1.0883929141542659</c:v>
                </c:pt>
                <c:pt idx="125">
                  <c:v>-1.1874719721507425</c:v>
                </c:pt>
                <c:pt idx="126">
                  <c:v>-1.2961183930696443</c:v>
                </c:pt>
                <c:pt idx="127">
                  <c:v>-1.414653063070471</c:v>
                </c:pt>
                <c:pt idx="128">
                  <c:v>-1.5432639181215926</c:v>
                </c:pt>
                <c:pt idx="129">
                  <c:v>-1.6819786609945275</c:v>
                </c:pt>
                <c:pt idx="130">
                  <c:v>-1.830639897947048</c:v>
                </c:pt>
                <c:pt idx="131">
                  <c:v>-1.9888847848668512</c:v>
                </c:pt>
                <c:pt idx="132">
                  <c:v>-2.156131308463312</c:v>
                </c:pt>
                <c:pt idx="133">
                  <c:v>-2.331573140981373</c:v>
                </c:pt>
                <c:pt idx="134">
                  <c:v>-2.5141845785262227</c:v>
                </c:pt>
                <c:pt idx="135">
                  <c:v>-2.702736419880164</c:v>
                </c:pt>
                <c:pt idx="136">
                  <c:v>-2.8958228180390044</c:v>
                </c:pt>
                <c:pt idx="137">
                  <c:v>-3.0918982250126383</c:v>
                </c:pt>
                <c:pt idx="138">
                  <c:v>-3.2893226577733365</c:v>
                </c:pt>
                <c:pt idx="139">
                  <c:v>-3.4864127427697333</c:v>
                </c:pt>
                <c:pt idx="140">
                  <c:v>-3.6815582860720433</c:v>
                </c:pt>
                <c:pt idx="141">
                  <c:v>-3.872961178877272</c:v>
                </c:pt>
              </c:numCache>
            </c:numRef>
          </c:val>
          <c:smooth val="0"/>
        </c:ser>
        <c:ser>
          <c:idx val="1"/>
          <c:order val="1"/>
          <c:tx>
            <c:strRef>
              <c:f>Loekie_built_1st_version!$AA$48</c:f>
              <c:strCache>
                <c:ptCount val="1"/>
                <c:pt idx="0">
                  <c:v>Loekie_sRIAA</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Loekie_built_1st_version!$AA$49:$AA$190</c:f>
              <c:numCache>
                <c:ptCount val="142"/>
                <c:pt idx="0">
                  <c:v>1.2022223860357784</c:v>
                </c:pt>
                <c:pt idx="1">
                  <c:v>1.1998394785839572</c:v>
                </c:pt>
                <c:pt idx="2">
                  <c:v>1.1971124792726187</c:v>
                </c:pt>
                <c:pt idx="3">
                  <c:v>1.193993412830924</c:v>
                </c:pt>
                <c:pt idx="4">
                  <c:v>1.190428148395437</c:v>
                </c:pt>
                <c:pt idx="5">
                  <c:v>1.1863557762906538</c:v>
                </c:pt>
                <c:pt idx="6">
                  <c:v>1.1817079754798598</c:v>
                </c:pt>
                <c:pt idx="7">
                  <c:v>1.1764083921700639</c:v>
                </c:pt>
                <c:pt idx="8">
                  <c:v>1.1703720579063805</c:v>
                </c:pt>
                <c:pt idx="9">
                  <c:v>1.1635048851043628</c:v>
                </c:pt>
                <c:pt idx="10">
                  <c:v>1.1557032894259862</c:v>
                </c:pt>
                <c:pt idx="11">
                  <c:v>1.1468540016313291</c:v>
                </c:pt>
                <c:pt idx="12">
                  <c:v>1.1368341461945235</c:v>
                </c:pt>
                <c:pt idx="13">
                  <c:v>1.125511679342548</c:v>
                </c:pt>
                <c:pt idx="14">
                  <c:v>1.1127462939953539</c:v>
                </c:pt>
                <c:pt idx="15">
                  <c:v>1.0983909114105934</c:v>
                </c:pt>
                <c:pt idx="16">
                  <c:v>1.0822938863719962</c:v>
                </c:pt>
                <c:pt idx="17">
                  <c:v>1.0643020508149803</c:v>
                </c:pt>
                <c:pt idx="18">
                  <c:v>1.0442647053342782</c:v>
                </c:pt>
                <c:pt idx="19">
                  <c:v>1.0220386340258187</c:v>
                </c:pt>
                <c:pt idx="20">
                  <c:v>0.9974941607113159</c:v>
                </c:pt>
                <c:pt idx="21">
                  <c:v>0.970522180163119</c:v>
                </c:pt>
                <c:pt idx="22">
                  <c:v>0.9410419857042633</c:v>
                </c:pt>
                <c:pt idx="23">
                  <c:v>0.9090095783792194</c:v>
                </c:pt>
                <c:pt idx="24">
                  <c:v>0.8744259931307425</c:v>
                </c:pt>
                <c:pt idx="25">
                  <c:v>0.8373450320307931</c:v>
                </c:pt>
                <c:pt idx="26">
                  <c:v>0.7978796788272646</c:v>
                </c:pt>
                <c:pt idx="27">
                  <c:v>0.7562064127954748</c:v>
                </c:pt>
                <c:pt idx="28">
                  <c:v>0.7125666724676201</c:v>
                </c:pt>
                <c:pt idx="29">
                  <c:v>0.6672648625321855</c:v>
                </c:pt>
                <c:pt idx="30">
                  <c:v>0.620662554984122</c:v>
                </c:pt>
                <c:pt idx="31">
                  <c:v>0.5731688906028758</c:v>
                </c:pt>
                <c:pt idx="32">
                  <c:v>0.5252275965834343</c:v>
                </c:pt>
                <c:pt idx="33">
                  <c:v>0.477301438648027</c:v>
                </c:pt>
                <c:pt idx="34">
                  <c:v>0.4298552515711158</c:v>
                </c:pt>
                <c:pt idx="35">
                  <c:v>0.38333887966032165</c:v>
                </c:pt>
                <c:pt idx="36">
                  <c:v>0.33817137149017285</c:v>
                </c:pt>
                <c:pt idx="37">
                  <c:v>0.2947276084506907</c:v>
                </c:pt>
                <c:pt idx="38">
                  <c:v>0.25332823674325944</c:v>
                </c:pt>
                <c:pt idx="39">
                  <c:v>0.21423337577899915</c:v>
                </c:pt>
                <c:pt idx="40">
                  <c:v>0.17764016190037069</c:v>
                </c:pt>
                <c:pt idx="41">
                  <c:v>0.14368381887157966</c:v>
                </c:pt>
                <c:pt idx="42">
                  <c:v>0.11244167134566219</c:v>
                </c:pt>
                <c:pt idx="43">
                  <c:v>0.08393935589793777</c:v>
                </c:pt>
                <c:pt idx="44">
                  <c:v>0.05815843420734623</c:v>
                </c:pt>
                <c:pt idx="45">
                  <c:v>0.03504465514449784</c:v>
                </c:pt>
                <c:pt idx="46">
                  <c:v>0.014516218266445335</c:v>
                </c:pt>
                <c:pt idx="47">
                  <c:v>-0.00352846954964825</c:v>
                </c:pt>
                <c:pt idx="48">
                  <c:v>-0.01920390573020292</c:v>
                </c:pt>
                <c:pt idx="49">
                  <c:v>-0.03263169741186722</c:v>
                </c:pt>
                <c:pt idx="50">
                  <c:v>-0.04393597207302058</c:v>
                </c:pt>
                <c:pt idx="51">
                  <c:v>-0.05324001640236453</c:v>
                </c:pt>
                <c:pt idx="52">
                  <c:v>-0.060664102363316985</c:v>
                </c:pt>
                <c:pt idx="53">
                  <c:v>-0.06632441522955901</c:v>
                </c:pt>
                <c:pt idx="54">
                  <c:v>-0.07033296807897216</c:v>
                </c:pt>
                <c:pt idx="55">
                  <c:v>-0.0727983648023649</c:v>
                </c:pt>
                <c:pt idx="56">
                  <c:v>-0.07382725408216295</c:v>
                </c:pt>
                <c:pt idx="57">
                  <c:v>-0.0735262968237329</c:v>
                </c:pt>
                <c:pt idx="58">
                  <c:v>-0.07200444833856778</c:v>
                </c:pt>
                <c:pt idx="59">
                  <c:v>-0.06937533599425905</c:v>
                </c:pt>
                <c:pt idx="60">
                  <c:v>-0.06575949738919107</c:v>
                </c:pt>
                <c:pt idx="61">
                  <c:v>-0.0612862395818361</c:v>
                </c:pt>
                <c:pt idx="62">
                  <c:v>-0.056094893267221835</c:v>
                </c:pt>
                <c:pt idx="63">
                  <c:v>-0.05033527251450565</c:v>
                </c:pt>
                <c:pt idx="64">
                  <c:v>-0.044167212791805355</c:v>
                </c:pt>
                <c:pt idx="65">
                  <c:v>-0.03775914433266081</c:v>
                </c:pt>
                <c:pt idx="66">
                  <c:v>-0.03128575532915079</c:v>
                </c:pt>
                <c:pt idx="67">
                  <c:v>-0.024924895865048313</c:v>
                </c:pt>
                <c:pt idx="68">
                  <c:v>-0.01885395253980704</c:v>
                </c:pt>
                <c:pt idx="69">
                  <c:v>-0.013245970656161177</c:v>
                </c:pt>
                <c:pt idx="70">
                  <c:v>-0.008265806611849058</c:v>
                </c:pt>
                <c:pt idx="71">
                  <c:v>-0.0040665571453750715</c:v>
                </c:pt>
                <c:pt idx="72">
                  <c:v>-0.0007864426549843984</c:v>
                </c:pt>
                <c:pt idx="73">
                  <c:v>0.0014537657917337299</c:v>
                </c:pt>
                <c:pt idx="74">
                  <c:v>0.0025527734592039053</c:v>
                </c:pt>
                <c:pt idx="75">
                  <c:v>0.002430310351634546</c:v>
                </c:pt>
                <c:pt idx="76">
                  <c:v>0.0010283078679407254</c:v>
                </c:pt>
                <c:pt idx="77">
                  <c:v>-0.0016881860409085903</c:v>
                </c:pt>
                <c:pt idx="78">
                  <c:v>-0.005730274051241935</c:v>
                </c:pt>
                <c:pt idx="79">
                  <c:v>-0.011084637439896738</c:v>
                </c:pt>
                <c:pt idx="80">
                  <c:v>-0.017713174640867635</c:v>
                </c:pt>
                <c:pt idx="81">
                  <c:v>-0.02555296963431175</c:v>
                </c:pt>
                <c:pt idx="82">
                  <c:v>-0.034516760920372036</c:v>
                </c:pt>
                <c:pt idx="83">
                  <c:v>-0.04449410129985765</c:v>
                </c:pt>
                <c:pt idx="84">
                  <c:v>-0.055353376736299253</c:v>
                </c:pt>
                <c:pt idx="85">
                  <c:v>-0.06694478698773665</c:v>
                </c:pt>
                <c:pt idx="86">
                  <c:v>-0.07910428807776171</c:v>
                </c:pt>
                <c:pt idx="87">
                  <c:v>-0.09165837241206631</c:v>
                </c:pt>
                <c:pt idx="88">
                  <c:v>-0.10442943833437468</c:v>
                </c:pt>
                <c:pt idx="89">
                  <c:v>-0.11724140111458325</c:v>
                </c:pt>
                <c:pt idx="90">
                  <c:v>-0.12992514214689166</c:v>
                </c:pt>
                <c:pt idx="91">
                  <c:v>-0.1423233941323474</c:v>
                </c:pt>
                <c:pt idx="92">
                  <c:v>-0.15429471708700504</c:v>
                </c:pt>
                <c:pt idx="93">
                  <c:v>-0.16571632151053706</c:v>
                </c:pt>
                <c:pt idx="94">
                  <c:v>-0.1764856211923771</c:v>
                </c:pt>
                <c:pt idx="95">
                  <c:v>-0.18652052631117044</c:v>
                </c:pt>
                <c:pt idx="96">
                  <c:v>-0.19575859766170822</c:v>
                </c:pt>
                <c:pt idx="97">
                  <c:v>-0.20415526148024554</c:v>
                </c:pt>
                <c:pt idx="98">
                  <c:v>-0.21168132597111367</c:v>
                </c:pt>
                <c:pt idx="99">
                  <c:v>-0.21832004719654208</c:v>
                </c:pt>
                <c:pt idx="100">
                  <c:v>-0.22406397060040106</c:v>
                </c:pt>
                <c:pt idx="101">
                  <c:v>-0.2289117346777374</c:v>
                </c:pt>
                <c:pt idx="102">
                  <c:v>-0.23286497477728574</c:v>
                </c:pt>
                <c:pt idx="103">
                  <c:v>-0.23592541571249726</c:v>
                </c:pt>
                <c:pt idx="104">
                  <c:v>-0.23809219733252718</c:v>
                </c:pt>
                <c:pt idx="105">
                  <c:v>-0.2393594405899684</c:v>
                </c:pt>
                <c:pt idx="106">
                  <c:v>-0.23971403401737135</c:v>
                </c:pt>
                <c:pt idx="107">
                  <c:v>-0.2391336015272465</c:v>
                </c:pt>
                <c:pt idx="108">
                  <c:v>-0.2375846008789857</c:v>
                </c:pt>
                <c:pt idx="109">
                  <c:v>-0.2350204964626137</c:v>
                </c:pt>
                <c:pt idx="110">
                  <c:v>-0.23137994869312806</c:v>
                </c:pt>
                <c:pt idx="111">
                  <c:v>-0.22658496395643724</c:v>
                </c:pt>
                <c:pt idx="112">
                  <c:v>-0.22053895268323842</c:v>
                </c:pt>
                <c:pt idx="113">
                  <c:v>-0.2131246480670903</c:v>
                </c:pt>
                <c:pt idx="114">
                  <c:v>-0.20420184383567275</c:v>
                </c:pt>
                <c:pt idx="115">
                  <c:v>-0.19360491625127096</c:v>
                </c:pt>
                <c:pt idx="116">
                  <c:v>-0.1811401033395832</c:v>
                </c:pt>
                <c:pt idx="117">
                  <c:v>-0.1665825236064329</c:v>
                </c:pt>
                <c:pt idx="118">
                  <c:v>-0.1496729277540858</c:v>
                </c:pt>
                <c:pt idx="119">
                  <c:v>-0.13011419086735643</c:v>
                </c:pt>
                <c:pt idx="120">
                  <c:v>-0.10756756999787953</c:v>
                </c:pt>
                <c:pt idx="121">
                  <c:v>-0.08164877392291103</c:v>
                </c:pt>
                <c:pt idx="122">
                  <c:v>-0.05192391893737991</c:v>
                </c:pt>
                <c:pt idx="123">
                  <c:v>-0.01790547760422001</c:v>
                </c:pt>
                <c:pt idx="124">
                  <c:v>0.0209516331006121</c:v>
                </c:pt>
                <c:pt idx="125">
                  <c:v>0.06525363189277655</c:v>
                </c:pt>
                <c:pt idx="126">
                  <c:v>0.11567087766770001</c:v>
                </c:pt>
                <c:pt idx="127">
                  <c:v>0.17293999937437476</c:v>
                </c:pt>
                <c:pt idx="128">
                  <c:v>0.23786479702765106</c:v>
                </c:pt>
                <c:pt idx="129">
                  <c:v>0.3113155096795488</c:v>
                </c:pt>
                <c:pt idx="130">
                  <c:v>0.39422600918419803</c:v>
                </c:pt>
                <c:pt idx="131">
                  <c:v>0.48758846440687265</c:v>
                </c:pt>
                <c:pt idx="132">
                  <c:v>0.5924450407882098</c:v>
                </c:pt>
                <c:pt idx="133">
                  <c:v>0.7098762672514489</c:v>
                </c:pt>
                <c:pt idx="134">
                  <c:v>0.8409858275387627</c:v>
                </c:pt>
                <c:pt idx="135">
                  <c:v>0.986881723508251</c:v>
                </c:pt>
                <c:pt idx="136">
                  <c:v>1.148654013783176</c:v>
                </c:pt>
                <c:pt idx="137">
                  <c:v>1.3273496423144913</c:v>
                </c:pt>
                <c:pt idx="138">
                  <c:v>1.5239452125626478</c:v>
                </c:pt>
                <c:pt idx="139">
                  <c:v>1.739318901807163</c:v>
                </c:pt>
                <c:pt idx="140">
                  <c:v>1.9741601561188595</c:v>
                </c:pt>
                <c:pt idx="141">
                  <c:v>2.229258663768217</c:v>
                </c:pt>
              </c:numCache>
            </c:numRef>
          </c:val>
          <c:smooth val="0"/>
        </c:ser>
        <c:ser>
          <c:idx val="2"/>
          <c:order val="2"/>
          <c:tx>
            <c:strRef>
              <c:f>Loekie_enhanced_version!$W$47</c:f>
              <c:strCache>
                <c:ptCount val="1"/>
                <c:pt idx="0">
                  <c:v>Version 2, e_RIAA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Loekie_enhanced_version!$W$49:$W$190</c:f>
              <c:numCache>
                <c:ptCount val="142"/>
                <c:pt idx="0">
                  <c:v>0.016481971330012612</c:v>
                </c:pt>
                <c:pt idx="1">
                  <c:v>0.016475061364644716</c:v>
                </c:pt>
                <c:pt idx="2">
                  <c:v>0.016467148687052457</c:v>
                </c:pt>
                <c:pt idx="3">
                  <c:v>0.016458091949605347</c:v>
                </c:pt>
                <c:pt idx="4">
                  <c:v>0.01644773118035303</c:v>
                </c:pt>
                <c:pt idx="5">
                  <c:v>0.016435885736491684</c:v>
                </c:pt>
                <c:pt idx="6">
                  <c:v>0.016422352163946385</c:v>
                </c:pt>
                <c:pt idx="7">
                  <c:v>0.01640690200624917</c:v>
                </c:pt>
                <c:pt idx="8">
                  <c:v>0.016389279626132236</c:v>
                </c:pt>
                <c:pt idx="9">
                  <c:v>0.016369200128394823</c:v>
                </c:pt>
                <c:pt idx="10">
                  <c:v>0.016346347503731096</c:v>
                </c:pt>
                <c:pt idx="11">
                  <c:v>0.016320373151224032</c:v>
                </c:pt>
                <c:pt idx="12">
                  <c:v>0.016290894980084403</c:v>
                </c:pt>
                <c:pt idx="13">
                  <c:v>0.016257497340955496</c:v>
                </c:pt>
                <c:pt idx="14">
                  <c:v>0.016219732089108874</c:v>
                </c:pt>
                <c:pt idx="15">
                  <c:v>0.016177121132990635</c:v>
                </c:pt>
                <c:pt idx="16">
                  <c:v>0.016129160868214143</c:v>
                </c:pt>
                <c:pt idx="17">
                  <c:v>0.016075328924195276</c:v>
                </c:pt>
                <c:pt idx="18">
                  <c:v>0.01601509365567466</c:v>
                </c:pt>
                <c:pt idx="19">
                  <c:v>0.015947926768426157</c:v>
                </c:pt>
                <c:pt idx="20">
                  <c:v>0.015873319369667627</c:v>
                </c:pt>
                <c:pt idx="21">
                  <c:v>0.015790801555965572</c:v>
                </c:pt>
                <c:pt idx="22">
                  <c:v>0.015699965381969605</c:v>
                </c:pt>
                <c:pt idx="23">
                  <c:v>0.01560049068695335</c:v>
                </c:pt>
                <c:pt idx="24">
                  <c:v>0.01549217280023285</c:v>
                </c:pt>
                <c:pt idx="25">
                  <c:v>0.015374950632168094</c:v>
                </c:pt>
                <c:pt idx="26">
                  <c:v>0.015248933139819343</c:v>
                </c:pt>
                <c:pt idx="27">
                  <c:v>0.01511442171970856</c:v>
                </c:pt>
                <c:pt idx="28">
                  <c:v>0.014971925825904009</c:v>
                </c:pt>
                <c:pt idx="29">
                  <c:v>0.01482216914847001</c:v>
                </c:pt>
                <c:pt idx="30">
                  <c:v>0.014666084097012089</c:v>
                </c:pt>
                <c:pt idx="31">
                  <c:v>0.014504793152664064</c:v>
                </c:pt>
                <c:pt idx="32">
                  <c:v>0.014339576830916911</c:v>
                </c:pt>
                <c:pt idx="33">
                  <c:v>0.014171829409161063</c:v>
                </c:pt>
                <c:pt idx="34">
                  <c:v>0.014003004999878499</c:v>
                </c:pt>
                <c:pt idx="35">
                  <c:v>0.013834557755131982</c:v>
                </c:pt>
                <c:pt idx="36">
                  <c:v>0.013667880733997606</c:v>
                </c:pt>
                <c:pt idx="37">
                  <c:v>0.013504248108906935</c:v>
                </c:pt>
                <c:pt idx="38">
                  <c:v>0.013344764897329497</c:v>
                </c:pt>
                <c:pt idx="39">
                  <c:v>0.013190327378445943</c:v>
                </c:pt>
                <c:pt idx="40">
                  <c:v>0.013041595991605703</c:v>
                </c:pt>
                <c:pt idx="41">
                  <c:v>0.012898981057215764</c:v>
                </c:pt>
                <c:pt idx="42">
                  <c:v>0.012762640346169363</c:v>
                </c:pt>
                <c:pt idx="43">
                  <c:v>0.012632486521880537</c:v>
                </c:pt>
                <c:pt idx="44">
                  <c:v>0.012508201873863811</c:v>
                </c:pt>
                <c:pt idx="45">
                  <c:v>0.012389257554946909</c:v>
                </c:pt>
                <c:pt idx="46">
                  <c:v>0.012274934661315129</c:v>
                </c:pt>
                <c:pt idx="47">
                  <c:v>0.01216434485400164</c:v>
                </c:pt>
                <c:pt idx="48">
                  <c:v>0.012056448706273315</c:v>
                </c:pt>
                <c:pt idx="49">
                  <c:v>0.011950070482113162</c:v>
                </c:pt>
                <c:pt idx="50">
                  <c:v>0.011843908533158753</c:v>
                </c:pt>
                <c:pt idx="51">
                  <c:v>0.011736540907651971</c:v>
                </c:pt>
                <c:pt idx="52">
                  <c:v>0.0116264260771608</c:v>
                </c:pt>
                <c:pt idx="53">
                  <c:v>0.011511898903753703</c:v>
                </c:pt>
                <c:pt idx="54">
                  <c:v>0.011391162107301511</c:v>
                </c:pt>
                <c:pt idx="55">
                  <c:v>0.011262273564607739</c:v>
                </c:pt>
                <c:pt idx="56">
                  <c:v>0.011123129804177623</c:v>
                </c:pt>
                <c:pt idx="57">
                  <c:v>0.010971446069643065</c:v>
                </c:pt>
                <c:pt idx="58">
                  <c:v>0.010804733336888361</c:v>
                </c:pt>
                <c:pt idx="59">
                  <c:v>0.010620272700325728</c:v>
                </c:pt>
                <c:pt idx="60">
                  <c:v>0.010415087619236374</c:v>
                </c:pt>
                <c:pt idx="61">
                  <c:v>0.010185914651319905</c:v>
                </c:pt>
                <c:pt idx="62">
                  <c:v>0.009929173523422818</c:v>
                </c:pt>
                <c:pt idx="63">
                  <c:v>0.009640937710123865</c:v>
                </c:pt>
                <c:pt idx="64">
                  <c:v>0.009316907129296226</c:v>
                </c:pt>
                <c:pt idx="65">
                  <c:v>0.008952385116685946</c:v>
                </c:pt>
                <c:pt idx="66">
                  <c:v>0.008542262504022347</c:v>
                </c:pt>
                <c:pt idx="67">
                  <c:v>0.008081012368627682</c:v>
                </c:pt>
                <c:pt idx="68">
                  <c:v>0.0075626998027615855</c:v>
                </c:pt>
                <c:pt idx="69">
                  <c:v>0.006981011800281323</c:v>
                </c:pt>
                <c:pt idx="70">
                  <c:v>0.006329312981858237</c:v>
                </c:pt>
                <c:pt idx="71">
                  <c:v>0.005600733256127199</c:v>
                </c:pt>
                <c:pt idx="72">
                  <c:v>0.004788293485887607</c:v>
                </c:pt>
                <c:pt idx="73">
                  <c:v>0.003885074606319705</c:v>
                </c:pt>
                <c:pt idx="74">
                  <c:v>0.002884434210706388</c:v>
                </c:pt>
                <c:pt idx="75">
                  <c:v>0.0017802721603850102</c:v>
                </c:pt>
                <c:pt idx="76">
                  <c:v>0.0005673431080523983</c:v>
                </c:pt>
                <c:pt idx="77">
                  <c:v>-0.0007583911262152299</c:v>
                </c:pt>
                <c:pt idx="78">
                  <c:v>-0.0021993825045818483</c:v>
                </c:pt>
                <c:pt idx="79">
                  <c:v>-0.003756111116192784</c:v>
                </c:pt>
                <c:pt idx="80">
                  <c:v>-0.005426719903052657</c:v>
                </c:pt>
                <c:pt idx="81">
                  <c:v>-0.007206702592394976</c:v>
                </c:pt>
                <c:pt idx="82">
                  <c:v>-0.009088681048076808</c:v>
                </c:pt>
                <c:pt idx="83">
                  <c:v>-0.011062307759097223</c:v>
                </c:pt>
                <c:pt idx="84">
                  <c:v>-0.01311432367373655</c:v>
                </c:pt>
                <c:pt idx="85">
                  <c:v>-0.01522879060682314</c:v>
                </c:pt>
                <c:pt idx="86">
                  <c:v>-0.017387501585847787</c:v>
                </c:pt>
                <c:pt idx="87">
                  <c:v>-0.019570553536222945</c:v>
                </c:pt>
                <c:pt idx="88">
                  <c:v>-0.021757047437802157</c:v>
                </c:pt>
                <c:pt idx="89">
                  <c:v>-0.02392586483232151</c:v>
                </c:pt>
                <c:pt idx="90">
                  <c:v>-0.02605645938322354</c:v>
                </c:pt>
                <c:pt idx="91">
                  <c:v>-0.028129600109970454</c:v>
                </c:pt>
                <c:pt idx="92">
                  <c:v>-0.030128009354353225</c:v>
                </c:pt>
                <c:pt idx="93">
                  <c:v>-0.03203685219351726</c:v>
                </c:pt>
                <c:pt idx="94">
                  <c:v>-0.03384405223871312</c:v>
                </c:pt>
                <c:pt idx="95">
                  <c:v>-0.035540428253359124</c:v>
                </c:pt>
                <c:pt idx="96">
                  <c:v>-0.0371196636545541</c:v>
                </c:pt>
                <c:pt idx="97">
                  <c:v>-0.038578134415256926</c:v>
                </c:pt>
                <c:pt idx="98">
                  <c:v>-0.03991462900208731</c:v>
                </c:pt>
                <c:pt idx="99">
                  <c:v>-0.04112999675276896</c:v>
                </c:pt>
                <c:pt idx="100">
                  <c:v>-0.042226759381563284</c:v>
                </c:pt>
                <c:pt idx="101">
                  <c:v>-0.04320871544248561</c:v>
                </c:pt>
                <c:pt idx="102">
                  <c:v>-0.04408056102144542</c:v>
                </c:pt>
                <c:pt idx="103">
                  <c:v>-0.04484754293466864</c:v>
                </c:pt>
                <c:pt idx="104">
                  <c:v>-0.045515154216349885</c:v>
                </c:pt>
                <c:pt idx="105">
                  <c:v>-0.046088876249900324</c:v>
                </c:pt>
                <c:pt idx="106">
                  <c:v>-0.04657396778094025</c:v>
                </c:pt>
                <c:pt idx="107">
                  <c:v>-0.046975298254114506</c:v>
                </c:pt>
                <c:pt idx="108">
                  <c:v>-0.04729722129512837</c:v>
                </c:pt>
                <c:pt idx="109">
                  <c:v>-0.04754348349873183</c:v>
                </c:pt>
                <c:pt idx="110">
                  <c:v>-0.04771716375028845</c:v>
                </c:pt>
                <c:pt idx="111">
                  <c:v>-0.047820638884982</c:v>
                </c:pt>
                <c:pt idx="112">
                  <c:v>-0.04785557239351235</c:v>
                </c:pt>
                <c:pt idx="113">
                  <c:v>-0.047822923963462216</c:v>
                </c:pt>
                <c:pt idx="114">
                  <c:v>-0.047722978787586356</c:v>
                </c:pt>
                <c:pt idx="115">
                  <c:v>-0.04755539666507147</c:v>
                </c:pt>
                <c:pt idx="116">
                  <c:v>-0.04731928188074974</c:v>
                </c:pt>
                <c:pt idx="117">
                  <c:v>-0.04701327556712798</c:v>
                </c:pt>
                <c:pt idx="118">
                  <c:v>-0.04663567261954782</c:v>
                </c:pt>
                <c:pt idx="119">
                  <c:v>-0.04618456512723057</c:v>
                </c:pt>
                <c:pt idx="120">
                  <c:v>-0.04565801355137822</c:v>
                </c:pt>
                <c:pt idx="121">
                  <c:v>-0.0450542454145797</c:v>
                </c:pt>
                <c:pt idx="122">
                  <c:v>-0.044371878963826106</c:v>
                </c:pt>
                <c:pt idx="123">
                  <c:v>-0.0436101661382402</c:v>
                </c:pt>
                <c:pt idx="124">
                  <c:v>-0.042769245349088436</c:v>
                </c:pt>
                <c:pt idx="125">
                  <c:v>-0.04185039038898353</c:v>
                </c:pt>
                <c:pt idx="126">
                  <c:v>-0.04085623778135172</c:v>
                </c:pt>
                <c:pt idx="127">
                  <c:v>-0.03979097181093394</c:v>
                </c:pt>
                <c:pt idx="128">
                  <c:v>-0.038660445216809336</c:v>
                </c:pt>
                <c:pt idx="129">
                  <c:v>-0.03747221491161312</c:v>
                </c:pt>
                <c:pt idx="130">
                  <c:v>-0.03623547668201965</c:v>
                </c:pt>
                <c:pt idx="131">
                  <c:v>-0.034960890679766266</c:v>
                </c:pt>
                <c:pt idx="132">
                  <c:v>-0.03366030000321629</c:v>
                </c:pt>
                <c:pt idx="133">
                  <c:v>-0.03234635645601358</c:v>
                </c:pt>
                <c:pt idx="134">
                  <c:v>-0.031032078787855966</c:v>
                </c:pt>
                <c:pt idx="135">
                  <c:v>-0.02973037735951678</c:v>
                </c:pt>
                <c:pt idx="136">
                  <c:v>-0.028453583581804054</c:v>
                </c:pt>
                <c:pt idx="137">
                  <c:v>-0.02721302156080796</c:v>
                </c:pt>
                <c:pt idx="138">
                  <c:v>-0.026018654249728712</c:v>
                </c:pt>
                <c:pt idx="139">
                  <c:v>-0.024878825639039093</c:v>
                </c:pt>
                <c:pt idx="140">
                  <c:v>-0.023828677533284548</c:v>
                </c:pt>
                <c:pt idx="141">
                  <c:v>-0.02278726969228373</c:v>
                </c:pt>
              </c:numCache>
            </c:numRef>
          </c:val>
          <c:smooth val="0"/>
        </c:ser>
        <c:marker val="1"/>
        <c:axId val="48411668"/>
        <c:axId val="33051829"/>
      </c:lineChart>
      <c:catAx>
        <c:axId val="48411668"/>
        <c:scaling>
          <c:orientation val="minMax"/>
        </c:scaling>
        <c:axPos val="b"/>
        <c:delete val="0"/>
        <c:numFmt formatCode="#,##0" sourceLinked="0"/>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33051829"/>
        <c:crossesAt val="0"/>
        <c:auto val="1"/>
        <c:lblOffset val="100"/>
        <c:noMultiLvlLbl val="0"/>
      </c:catAx>
      <c:valAx>
        <c:axId val="33051829"/>
        <c:scaling>
          <c:orientation val="minMax"/>
          <c:min val="-2"/>
        </c:scaling>
        <c:axPos val="l"/>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8411668"/>
        <c:crossesAt val="1"/>
        <c:crossBetween val="midCat"/>
        <c:dispUnits/>
      </c:valAx>
      <c:spPr>
        <a:solidFill>
          <a:srgbClr val="D9D9D9"/>
        </a:solidFill>
        <a:ln w="3175">
          <a:noFill/>
        </a:ln>
      </c:spPr>
    </c:plotArea>
    <c:legend>
      <c:legendPos val="r"/>
      <c:layout>
        <c:manualLayout>
          <c:xMode val="edge"/>
          <c:yMode val="edge"/>
          <c:x val="0.6415"/>
          <c:y val="0.2055"/>
          <c:w val="0.20925"/>
          <c:h val="0.1255"/>
        </c:manualLayout>
      </c:layout>
      <c:overlay val="0"/>
      <c:spPr>
        <a:solidFill>
          <a:srgbClr val="D9D9D9"/>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Loekie as originally built</a:t>
            </a:r>
          </a:p>
        </c:rich>
      </c:tx>
      <c:layout>
        <c:manualLayout>
          <c:xMode val="factor"/>
          <c:yMode val="factor"/>
          <c:x val="-0.033"/>
          <c:y val="-0.02175"/>
        </c:manualLayout>
      </c:layout>
      <c:spPr>
        <a:noFill/>
        <a:ln>
          <a:noFill/>
        </a:ln>
      </c:spPr>
    </c:title>
    <c:plotArea>
      <c:layout>
        <c:manualLayout>
          <c:xMode val="edge"/>
          <c:yMode val="edge"/>
          <c:x val="0.0275"/>
          <c:y val="0.0715"/>
          <c:w val="0.97"/>
          <c:h val="0.922"/>
        </c:manualLayout>
      </c:layout>
      <c:lineChart>
        <c:grouping val="standard"/>
        <c:varyColors val="0"/>
        <c:ser>
          <c:idx val="0"/>
          <c:order val="0"/>
          <c:tx>
            <c:strRef>
              <c:f>Loekie_built_1st_version!$AA$48</c:f>
              <c:strCache>
                <c:ptCount val="1"/>
                <c:pt idx="0">
                  <c:v>Loekie_sRIAA</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15" b="0" i="0" u="none" baseline="0">
                    <a:solidFill>
                      <a:srgbClr val="000000"/>
                    </a:solidFill>
                  </a:defRPr>
                </a:pPr>
              </a:p>
            </c:txPr>
            <c:dLblPos val="t"/>
            <c:showLegendKey val="0"/>
            <c:showVal val="0"/>
            <c:showBubbleSize val="0"/>
            <c:showCatName val="0"/>
            <c:showSerName val="0"/>
            <c:showLeaderLines val="1"/>
            <c:showPercent val="0"/>
          </c:dLbls>
          <c:cat>
            <c:numRef>
              <c:f>Loekie_built_1st_version!$N$49:$N$191</c:f>
              <c:numCach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numCache>
            </c:numRef>
          </c:cat>
          <c:val>
            <c:numRef>
              <c:f>Loekie_built_1st_version!$AA$49:$AA$191</c:f>
              <c:numCach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numCache>
            </c:numRef>
          </c:val>
          <c:smooth val="0"/>
        </c:ser>
        <c:ser>
          <c:idx val="1"/>
          <c:order val="1"/>
          <c:tx>
            <c:strRef>
              <c:f>Loekie_built_1st_version!$AB$48</c:f>
              <c:strCache>
                <c:ptCount val="1"/>
                <c:pt idx="0">
                  <c:v>Loekie_eRIAA</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Loekie_built_1st_version!$N$49:$N$191</c:f>
              <c:numCach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numCache>
            </c:numRef>
          </c:cat>
          <c:val>
            <c:numRef>
              <c:f>Loekie_built_1st_version!$AB$49:$AB$191</c:f>
              <c:numCache>
                <c:ptCount val="1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numCache>
            </c:numRef>
          </c:val>
          <c:smooth val="0"/>
        </c:ser>
        <c:marker val="1"/>
        <c:axId val="29031006"/>
        <c:axId val="59952463"/>
      </c:lineChart>
      <c:catAx>
        <c:axId val="29031006"/>
        <c:scaling>
          <c:orientation val="minMax"/>
        </c:scaling>
        <c:axPos val="b"/>
        <c:title>
          <c:tx>
            <c:rich>
              <a:bodyPr vert="horz" rot="0" anchor="ctr"/>
              <a:lstStyle/>
              <a:p>
                <a:pPr algn="ctr">
                  <a:defRPr/>
                </a:pPr>
                <a:r>
                  <a:rPr lang="en-US" cap="none" sz="965" b="0" i="0" u="none" baseline="0">
                    <a:solidFill>
                      <a:srgbClr val="000000"/>
                    </a:solidFill>
                  </a:rPr>
                  <a:t>frequency</a:t>
                </a:r>
              </a:p>
            </c:rich>
          </c:tx>
          <c:layout>
            <c:manualLayout>
              <c:xMode val="factor"/>
              <c:yMode val="factor"/>
              <c:x val="-0.0145"/>
              <c:y val="-0.1062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5400000"/>
          <a:lstStyle/>
          <a:p>
            <a:pPr>
              <a:defRPr lang="en-US" cap="none" sz="860" b="0" i="0" u="none" baseline="0">
                <a:solidFill>
                  <a:srgbClr val="000000"/>
                </a:solidFill>
              </a:defRPr>
            </a:pPr>
          </a:p>
        </c:txPr>
        <c:crossAx val="59952463"/>
        <c:crossesAt val="0"/>
        <c:auto val="1"/>
        <c:lblOffset val="100"/>
        <c:noMultiLvlLbl val="0"/>
      </c:catAx>
      <c:valAx>
        <c:axId val="59952463"/>
        <c:scaling>
          <c:orientation val="minMax"/>
        </c:scaling>
        <c:axPos val="l"/>
        <c:title>
          <c:tx>
            <c:rich>
              <a:bodyPr vert="horz" rot="-5400000" anchor="ctr"/>
              <a:lstStyle/>
              <a:p>
                <a:pPr algn="ctr">
                  <a:defRPr/>
                </a:pPr>
                <a:r>
                  <a:rPr lang="en-US" cap="none" sz="965" b="0" i="0" u="none" baseline="0">
                    <a:solidFill>
                      <a:srgbClr val="000000"/>
                    </a:solidFill>
                  </a:rPr>
                  <a:t>Gain (dB)</a:t>
                </a:r>
              </a:p>
            </c:rich>
          </c:tx>
          <c:layout>
            <c:manualLayout>
              <c:xMode val="factor"/>
              <c:yMode val="factor"/>
              <c:x val="-0.00675"/>
              <c:y val="-0.004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860" b="0" i="0" u="none" baseline="0">
                <a:solidFill>
                  <a:srgbClr val="000000"/>
                </a:solidFill>
              </a:defRPr>
            </a:pPr>
          </a:p>
        </c:txPr>
        <c:crossAx val="29031006"/>
        <c:crossesAt val="1"/>
        <c:crossBetween val="midCat"/>
        <c:dispUnits/>
      </c:valAx>
      <c:spPr>
        <a:solidFill>
          <a:srgbClr val="D9D9D9"/>
        </a:solidFill>
        <a:ln w="3175">
          <a:noFill/>
        </a:ln>
      </c:spPr>
    </c:plotArea>
    <c:legend>
      <c:legendPos val="r"/>
      <c:layout>
        <c:manualLayout>
          <c:xMode val="edge"/>
          <c:yMode val="edge"/>
          <c:x val="0.69725"/>
          <c:y val="0.14425"/>
        </c:manualLayout>
      </c:layout>
      <c:overlay val="0"/>
      <c:spPr>
        <a:ln w="3175">
          <a:solidFill>
            <a:srgbClr val="000000"/>
          </a:solid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Enhanced Version of Loekie</a:t>
            </a:r>
          </a:p>
        </c:rich>
      </c:tx>
      <c:layout>
        <c:manualLayout>
          <c:xMode val="factor"/>
          <c:yMode val="factor"/>
          <c:x val="0.00625"/>
          <c:y val="-0.0195"/>
        </c:manualLayout>
      </c:layout>
      <c:spPr>
        <a:noFill/>
        <a:ln>
          <a:noFill/>
        </a:ln>
      </c:spPr>
    </c:title>
    <c:plotArea>
      <c:layout>
        <c:manualLayout>
          <c:xMode val="edge"/>
          <c:yMode val="edge"/>
          <c:x val="0.02975"/>
          <c:y val="0.053"/>
          <c:w val="0.91875"/>
          <c:h val="0.9265"/>
        </c:manualLayout>
      </c:layout>
      <c:lineChart>
        <c:grouping val="standard"/>
        <c:varyColors val="0"/>
        <c:ser>
          <c:idx val="0"/>
          <c:order val="0"/>
          <c:tx>
            <c:strRef>
              <c:f>Loekie_enhanced_version!$V$48</c:f>
              <c:strCache>
                <c:ptCount val="1"/>
                <c:pt idx="0">
                  <c:v>Loekie_RIAA</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15" b="0" i="0" u="none" baseline="0">
                    <a:solidFill>
                      <a:srgbClr val="000000"/>
                    </a:solidFill>
                  </a:defRPr>
                </a:pPr>
              </a:p>
            </c:txPr>
            <c:dLblPos val="t"/>
            <c:showLegendKey val="0"/>
            <c:showVal val="0"/>
            <c:showBubbleSize val="0"/>
            <c:showCatName val="0"/>
            <c:showSerName val="0"/>
            <c:showLeaderLines val="1"/>
            <c:showPercent val="0"/>
          </c:dLbls>
          <c:cat>
            <c:numRef>
              <c:f>Loekie_enhanced_version!$I$49:$I$191</c:f>
              <c:numCache/>
            </c:numRef>
          </c:cat>
          <c:val>
            <c:numRef>
              <c:f>Loekie_enhanced_version!$V$49:$V$191</c:f>
              <c:numCache/>
            </c:numRef>
          </c:val>
          <c:smooth val="0"/>
        </c:ser>
        <c:ser>
          <c:idx val="1"/>
          <c:order val="1"/>
          <c:tx>
            <c:strRef>
              <c:f>Loekie_enhanced_version!$W$48</c:f>
              <c:strCache>
                <c:ptCount val="1"/>
                <c:pt idx="0">
                  <c:v>Loekie_eRIAA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Loekie_enhanced_version!$I$49:$I$191</c:f>
              <c:numCache/>
            </c:numRef>
          </c:cat>
          <c:val>
            <c:numRef>
              <c:f>Loekie_enhanced_version!$W$49:$W$191</c:f>
              <c:numCache/>
            </c:numRef>
          </c:val>
          <c:smooth val="0"/>
        </c:ser>
        <c:axId val="2701256"/>
        <c:axId val="24311305"/>
      </c:lineChart>
      <c:catAx>
        <c:axId val="2701256"/>
        <c:scaling>
          <c:orientation val="minMax"/>
        </c:scaling>
        <c:axPos val="b"/>
        <c:title>
          <c:tx>
            <c:rich>
              <a:bodyPr vert="horz" rot="0" anchor="ctr"/>
              <a:lstStyle/>
              <a:p>
                <a:pPr algn="ctr">
                  <a:defRPr/>
                </a:pPr>
                <a:r>
                  <a:rPr lang="en-US" cap="none" sz="965" b="0" i="0" u="none" baseline="0">
                    <a:solidFill>
                      <a:srgbClr val="000000"/>
                    </a:solidFill>
                  </a:rPr>
                  <a:t>frequency</a:t>
                </a:r>
              </a:p>
            </c:rich>
          </c:tx>
          <c:layout>
            <c:manualLayout>
              <c:xMode val="factor"/>
              <c:yMode val="factor"/>
              <c:x val="0.02175"/>
              <c:y val="-0.106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5400000"/>
          <a:lstStyle/>
          <a:p>
            <a:pPr>
              <a:defRPr lang="en-US" cap="none" sz="860" b="0" i="0" u="none" baseline="0">
                <a:solidFill>
                  <a:srgbClr val="000000"/>
                </a:solidFill>
              </a:defRPr>
            </a:pPr>
          </a:p>
        </c:txPr>
        <c:crossAx val="24311305"/>
        <c:crossesAt val="0"/>
        <c:auto val="1"/>
        <c:lblOffset val="100"/>
        <c:noMultiLvlLbl val="0"/>
      </c:catAx>
      <c:valAx>
        <c:axId val="24311305"/>
        <c:scaling>
          <c:orientation val="minMax"/>
          <c:max val="1"/>
          <c:min val="-1"/>
        </c:scaling>
        <c:axPos val="l"/>
        <c:title>
          <c:tx>
            <c:rich>
              <a:bodyPr vert="horz" rot="-5400000" anchor="ctr"/>
              <a:lstStyle/>
              <a:p>
                <a:pPr algn="ctr">
                  <a:defRPr/>
                </a:pPr>
                <a:r>
                  <a:rPr lang="en-US" cap="none" sz="965" b="0" i="0" u="none" baseline="0">
                    <a:solidFill>
                      <a:srgbClr val="000000"/>
                    </a:solidFill>
                  </a:rPr>
                  <a:t>Gain (dB)</a:t>
                </a:r>
              </a:p>
            </c:rich>
          </c:tx>
          <c:layout>
            <c:manualLayout>
              <c:xMode val="factor"/>
              <c:yMode val="factor"/>
              <c:x val="-0.00675"/>
              <c:y val="-0.004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60" b="0" i="0" u="none" baseline="0">
                <a:solidFill>
                  <a:srgbClr val="000000"/>
                </a:solidFill>
              </a:defRPr>
            </a:pPr>
          </a:p>
        </c:txPr>
        <c:crossAx val="2701256"/>
        <c:crossesAt val="1"/>
        <c:crossBetween val="midCat"/>
        <c:dispUnits/>
      </c:valAx>
      <c:spPr>
        <a:solidFill>
          <a:srgbClr val="D9D9D9"/>
        </a:solidFill>
        <a:ln w="3175">
          <a:noFill/>
        </a:ln>
      </c:spPr>
    </c:plotArea>
    <c:legend>
      <c:legendPos val="r"/>
      <c:layout>
        <c:manualLayout>
          <c:xMode val="edge"/>
          <c:yMode val="edge"/>
          <c:x val="0.7165"/>
          <c:y val="0.71475"/>
        </c:manualLayout>
      </c:layout>
      <c:overlay val="0"/>
      <c:spPr>
        <a:ln w="3175">
          <a:solidFill>
            <a:srgbClr val="000000"/>
          </a:solid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152400</xdr:rowOff>
    </xdr:from>
    <xdr:to>
      <xdr:col>0</xdr:col>
      <xdr:colOff>4953000</xdr:colOff>
      <xdr:row>36</xdr:row>
      <xdr:rowOff>85725</xdr:rowOff>
    </xdr:to>
    <xdr:pic>
      <xdr:nvPicPr>
        <xdr:cNvPr id="1" name="Picture 1"/>
        <xdr:cNvPicPr preferRelativeResize="1">
          <a:picLocks noChangeAspect="1"/>
        </xdr:cNvPicPr>
      </xdr:nvPicPr>
      <xdr:blipFill>
        <a:blip r:embed="rId1"/>
        <a:stretch>
          <a:fillRect/>
        </a:stretch>
      </xdr:blipFill>
      <xdr:spPr>
        <a:xfrm>
          <a:off x="0" y="1809750"/>
          <a:ext cx="4953000" cy="414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xdr:row>
      <xdr:rowOff>19050</xdr:rowOff>
    </xdr:from>
    <xdr:to>
      <xdr:col>1</xdr:col>
      <xdr:colOff>28575</xdr:colOff>
      <xdr:row>32</xdr:row>
      <xdr:rowOff>47625</xdr:rowOff>
    </xdr:to>
    <xdr:pic>
      <xdr:nvPicPr>
        <xdr:cNvPr id="1" name="Picture 1"/>
        <xdr:cNvPicPr preferRelativeResize="1">
          <a:picLocks noChangeAspect="1"/>
        </xdr:cNvPicPr>
      </xdr:nvPicPr>
      <xdr:blipFill>
        <a:blip r:embed="rId1"/>
        <a:stretch>
          <a:fillRect/>
        </a:stretch>
      </xdr:blipFill>
      <xdr:spPr>
        <a:xfrm>
          <a:off x="38100" y="838200"/>
          <a:ext cx="6762750" cy="440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8</xdr:col>
      <xdr:colOff>695325</xdr:colOff>
      <xdr:row>24</xdr:row>
      <xdr:rowOff>152400</xdr:rowOff>
    </xdr:to>
    <xdr:graphicFrame>
      <xdr:nvGraphicFramePr>
        <xdr:cNvPr id="1" name="Chart 1"/>
        <xdr:cNvGraphicFramePr/>
      </xdr:nvGraphicFramePr>
      <xdr:xfrm>
        <a:off x="76200" y="257175"/>
        <a:ext cx="7029450" cy="3781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9144000</xdr:colOff>
      <xdr:row>32</xdr:row>
      <xdr:rowOff>142875</xdr:rowOff>
    </xdr:to>
    <xdr:graphicFrame>
      <xdr:nvGraphicFramePr>
        <xdr:cNvPr id="1" name="Chart 1"/>
        <xdr:cNvGraphicFramePr/>
      </xdr:nvGraphicFramePr>
      <xdr:xfrm>
        <a:off x="0" y="0"/>
        <a:ext cx="9144000" cy="5324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76200</xdr:rowOff>
    </xdr:from>
    <xdr:to>
      <xdr:col>10</xdr:col>
      <xdr:colOff>704850</xdr:colOff>
      <xdr:row>32</xdr:row>
      <xdr:rowOff>123825</xdr:rowOff>
    </xdr:to>
    <xdr:graphicFrame>
      <xdr:nvGraphicFramePr>
        <xdr:cNvPr id="1" name="Chart 1"/>
        <xdr:cNvGraphicFramePr/>
      </xdr:nvGraphicFramePr>
      <xdr:xfrm>
        <a:off x="28575" y="2181225"/>
        <a:ext cx="7353300"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57150</xdr:rowOff>
    </xdr:from>
    <xdr:to>
      <xdr:col>8</xdr:col>
      <xdr:colOff>1438275</xdr:colOff>
      <xdr:row>33</xdr:row>
      <xdr:rowOff>142875</xdr:rowOff>
    </xdr:to>
    <xdr:graphicFrame>
      <xdr:nvGraphicFramePr>
        <xdr:cNvPr id="1" name="Chart 1"/>
        <xdr:cNvGraphicFramePr/>
      </xdr:nvGraphicFramePr>
      <xdr:xfrm>
        <a:off x="0" y="2162175"/>
        <a:ext cx="683895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latenspeler.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3"/>
  <sheetViews>
    <sheetView workbookViewId="0" topLeftCell="A1">
      <selection activeCell="A8" sqref="A8"/>
    </sheetView>
  </sheetViews>
  <sheetFormatPr defaultColWidth="9.140625" defaultRowHeight="12.75"/>
  <cols>
    <col min="1" max="1" width="112.7109375" style="0" customWidth="1"/>
    <col min="2" max="16384" width="11.28125" style="0" customWidth="1"/>
  </cols>
  <sheetData>
    <row r="1" ht="15.75">
      <c r="A1" s="1" t="s">
        <v>0</v>
      </c>
    </row>
    <row r="3" ht="12.75">
      <c r="A3" s="2" t="s">
        <v>1</v>
      </c>
    </row>
    <row r="4" ht="12.75">
      <c r="A4" t="s">
        <v>2</v>
      </c>
    </row>
    <row r="5" ht="12.75">
      <c r="A5" s="2" t="s">
        <v>3</v>
      </c>
    </row>
    <row r="6" ht="12.75">
      <c r="A6" s="2" t="s">
        <v>4</v>
      </c>
    </row>
    <row r="7" ht="12.75">
      <c r="A7" t="s">
        <v>5</v>
      </c>
    </row>
    <row r="8" ht="12.75">
      <c r="A8" s="2" t="s">
        <v>6</v>
      </c>
    </row>
    <row r="10" ht="12.75">
      <c r="A10" t="s">
        <v>7</v>
      </c>
    </row>
    <row r="11" ht="12.75">
      <c r="A11" s="2" t="s">
        <v>8</v>
      </c>
    </row>
    <row r="39" ht="12.75">
      <c r="A39" s="3" t="s">
        <v>9</v>
      </c>
    </row>
    <row r="40" ht="12.75">
      <c r="A40" s="2" t="s">
        <v>10</v>
      </c>
    </row>
    <row r="42" ht="12.75">
      <c r="A42" t="s">
        <v>11</v>
      </c>
    </row>
    <row r="44" ht="12.75">
      <c r="A44" s="2" t="s">
        <v>12</v>
      </c>
    </row>
    <row r="46" ht="12.75">
      <c r="A46" s="2" t="s">
        <v>13</v>
      </c>
    </row>
    <row r="47" ht="12.75">
      <c r="A47" t="s">
        <v>14</v>
      </c>
    </row>
    <row r="52" ht="12.75">
      <c r="A52" s="2" t="s">
        <v>15</v>
      </c>
    </row>
    <row r="53" ht="12.75">
      <c r="A53" s="4" t="s">
        <v>16</v>
      </c>
    </row>
  </sheetData>
  <printOptions/>
  <pageMargins left="0.7875" right="0.7875" top="0.7875" bottom="0.7875" header="0.5" footer="0.5"/>
  <pageSetup cellComments="asDisplayed" firstPageNumber="1" useFirstPageNumber="1" horizontalDpi="300" verticalDpi="300"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D38"/>
  <sheetViews>
    <sheetView showGridLines="0" workbookViewId="0" topLeftCell="A1">
      <selection activeCell="D4" sqref="D4"/>
    </sheetView>
  </sheetViews>
  <sheetFormatPr defaultColWidth="9.140625" defaultRowHeight="12.75"/>
  <cols>
    <col min="1" max="1" width="101.57421875" style="0" customWidth="1"/>
    <col min="2" max="2" width="3.7109375" style="0" customWidth="1"/>
    <col min="3" max="3" width="12.8515625" style="0" customWidth="1"/>
    <col min="4" max="4" width="14.00390625" style="0" customWidth="1"/>
  </cols>
  <sheetData>
    <row r="1" ht="12.75">
      <c r="A1" s="16" t="s">
        <v>72</v>
      </c>
    </row>
    <row r="3" ht="12.75">
      <c r="A3" t="s">
        <v>73</v>
      </c>
    </row>
    <row r="4" spans="1:4" ht="13.5" thickBot="1">
      <c r="A4" t="s">
        <v>97</v>
      </c>
      <c r="C4" s="36" t="s">
        <v>77</v>
      </c>
      <c r="D4" s="36" t="s">
        <v>76</v>
      </c>
    </row>
    <row r="5" spans="1:4" ht="12.75">
      <c r="A5" t="s">
        <v>96</v>
      </c>
      <c r="C5" s="34"/>
      <c r="D5" s="34"/>
    </row>
    <row r="6" spans="3:4" ht="12.75">
      <c r="C6" s="34" t="s">
        <v>78</v>
      </c>
      <c r="D6" s="34" t="s">
        <v>30</v>
      </c>
    </row>
    <row r="7" spans="3:4" ht="12.75">
      <c r="C7" s="34" t="s">
        <v>79</v>
      </c>
      <c r="D7" s="34" t="s">
        <v>31</v>
      </c>
    </row>
    <row r="8" spans="3:4" ht="12.75">
      <c r="C8" s="34" t="s">
        <v>80</v>
      </c>
      <c r="D8" s="34" t="s">
        <v>32</v>
      </c>
    </row>
    <row r="9" spans="3:4" ht="12.75">
      <c r="C9" s="34" t="s">
        <v>81</v>
      </c>
      <c r="D9" s="34" t="s">
        <v>33</v>
      </c>
    </row>
    <row r="10" spans="3:4" ht="12.75">
      <c r="C10" s="34" t="s">
        <v>82</v>
      </c>
      <c r="D10" s="34" t="s">
        <v>23</v>
      </c>
    </row>
    <row r="11" spans="3:4" ht="12.75">
      <c r="C11" s="34" t="s">
        <v>83</v>
      </c>
      <c r="D11" s="34" t="s">
        <v>25</v>
      </c>
    </row>
    <row r="12" spans="3:4" ht="12.75">
      <c r="C12" s="34" t="s">
        <v>84</v>
      </c>
      <c r="D12" s="34" t="s">
        <v>27</v>
      </c>
    </row>
    <row r="13" spans="3:4" ht="12.75">
      <c r="C13" s="34" t="s">
        <v>86</v>
      </c>
      <c r="D13" s="34" t="s">
        <v>85</v>
      </c>
    </row>
    <row r="14" spans="3:4" ht="12.75">
      <c r="C14" s="34" t="s">
        <v>87</v>
      </c>
      <c r="D14" s="34" t="s">
        <v>88</v>
      </c>
    </row>
    <row r="15" spans="3:4" ht="12.75">
      <c r="C15" s="35"/>
      <c r="D15" s="35"/>
    </row>
    <row r="16" spans="3:4" ht="12.75">
      <c r="C16" s="34" t="s">
        <v>95</v>
      </c>
      <c r="D16" s="34"/>
    </row>
    <row r="17" spans="3:4" ht="12.75">
      <c r="C17" s="34" t="s">
        <v>98</v>
      </c>
      <c r="D17" s="34"/>
    </row>
    <row r="18" spans="3:4" ht="12.75">
      <c r="C18" s="34" t="s">
        <v>99</v>
      </c>
      <c r="D18" s="34"/>
    </row>
    <row r="19" spans="3:4" ht="12.75">
      <c r="C19" s="35" t="s">
        <v>100</v>
      </c>
      <c r="D19" s="35"/>
    </row>
    <row r="34" ht="12.75">
      <c r="A34" t="s">
        <v>102</v>
      </c>
    </row>
    <row r="35" ht="12.75">
      <c r="A35" t="s">
        <v>101</v>
      </c>
    </row>
    <row r="37" ht="12.75">
      <c r="A37" t="s">
        <v>74</v>
      </c>
    </row>
    <row r="38" ht="12.75">
      <c r="A38" s="32" t="s">
        <v>75</v>
      </c>
    </row>
  </sheetData>
  <hyperlinks>
    <hyperlink ref="A38" r:id="rId1" display="http://www.platenspeler.com"/>
  </hyperlinks>
  <printOptions/>
  <pageMargins left="0.75" right="0.75" top="1" bottom="1" header="0.5" footer="0.5"/>
  <pageSetup orientation="portrait" paperSize="9" r:id="rId3"/>
  <drawing r:id="rId2"/>
</worksheet>
</file>

<file path=xl/worksheets/sheet3.xml><?xml version="1.0" encoding="utf-8"?>
<worksheet xmlns="http://schemas.openxmlformats.org/spreadsheetml/2006/main" xmlns:r="http://schemas.openxmlformats.org/officeDocument/2006/relationships">
  <dimension ref="A1:H175"/>
  <sheetViews>
    <sheetView workbookViewId="0" topLeftCell="A1">
      <selection activeCell="K19" sqref="K19"/>
    </sheetView>
  </sheetViews>
  <sheetFormatPr defaultColWidth="9.140625" defaultRowHeight="12.75"/>
  <cols>
    <col min="1" max="1" width="10.57421875" style="0" customWidth="1"/>
    <col min="2" max="6" width="11.28125" style="0" customWidth="1"/>
    <col min="7" max="7" width="14.140625" style="0" customWidth="1"/>
    <col min="8" max="8" width="15.00390625" style="0" customWidth="1"/>
    <col min="9" max="16384" width="11.28125" style="0" customWidth="1"/>
  </cols>
  <sheetData>
    <row r="1" spans="1:6" ht="12.75">
      <c r="A1" s="37" t="s">
        <v>112</v>
      </c>
      <c r="E1" s="5"/>
      <c r="F1" s="5"/>
    </row>
    <row r="2" spans="1:6" ht="12.75">
      <c r="A2" s="6"/>
      <c r="E2" s="5"/>
      <c r="F2" s="5"/>
    </row>
    <row r="3" spans="1:6" ht="12.75">
      <c r="A3" s="6"/>
      <c r="E3" s="5"/>
      <c r="F3" s="5"/>
    </row>
    <row r="4" spans="1:6" ht="12.75">
      <c r="A4" s="6"/>
      <c r="E4" s="5"/>
      <c r="F4" s="5"/>
    </row>
    <row r="5" spans="1:6" ht="12.75">
      <c r="A5" s="6"/>
      <c r="E5" s="5"/>
      <c r="F5" s="5"/>
    </row>
    <row r="6" spans="1:6" ht="12.75">
      <c r="A6" s="6"/>
      <c r="E6" s="5"/>
      <c r="F6" s="5"/>
    </row>
    <row r="7" spans="1:6" ht="12.75">
      <c r="A7" s="6"/>
      <c r="E7" s="5"/>
      <c r="F7" s="5"/>
    </row>
    <row r="8" spans="1:6" ht="12.75">
      <c r="A8" s="6"/>
      <c r="E8" s="5"/>
      <c r="F8" s="5"/>
    </row>
    <row r="9" spans="1:6" ht="12.75">
      <c r="A9" s="6"/>
      <c r="E9" s="5"/>
      <c r="F9" s="5"/>
    </row>
    <row r="10" spans="1:6" ht="12.75">
      <c r="A10" s="6"/>
      <c r="E10" s="5"/>
      <c r="F10" s="5"/>
    </row>
    <row r="11" spans="1:6" ht="12.75">
      <c r="A11" s="6"/>
      <c r="E11" s="5"/>
      <c r="F11" s="5"/>
    </row>
    <row r="12" spans="1:6" ht="12.75">
      <c r="A12" s="6"/>
      <c r="E12" s="5"/>
      <c r="F12" s="5"/>
    </row>
    <row r="13" spans="1:6" ht="12.75">
      <c r="A13" s="6"/>
      <c r="E13" s="5"/>
      <c r="F13" s="5"/>
    </row>
    <row r="14" spans="1:6" ht="12.75">
      <c r="A14" s="6"/>
      <c r="E14" s="5"/>
      <c r="F14" s="5"/>
    </row>
    <row r="15" spans="1:6" ht="12.75">
      <c r="A15" s="6"/>
      <c r="E15" s="5"/>
      <c r="F15" s="5"/>
    </row>
    <row r="16" spans="1:6" ht="12.75">
      <c r="A16" s="6"/>
      <c r="E16" s="5"/>
      <c r="F16" s="5"/>
    </row>
    <row r="17" spans="1:6" ht="12.75">
      <c r="A17" s="6"/>
      <c r="E17" s="5"/>
      <c r="F17" s="5"/>
    </row>
    <row r="18" spans="1:6" ht="12.75">
      <c r="A18" s="6"/>
      <c r="E18" s="5"/>
      <c r="F18" s="5"/>
    </row>
    <row r="19" spans="1:6" ht="12.75">
      <c r="A19" s="6"/>
      <c r="E19" s="5"/>
      <c r="F19" s="5"/>
    </row>
    <row r="20" spans="1:6" ht="12.75">
      <c r="A20" s="6"/>
      <c r="E20" s="5"/>
      <c r="F20" s="5"/>
    </row>
    <row r="21" spans="1:6" ht="12.75">
      <c r="A21" s="6"/>
      <c r="E21" s="5"/>
      <c r="F21" s="5"/>
    </row>
    <row r="22" spans="1:6" ht="12.75">
      <c r="A22" s="6"/>
      <c r="E22" s="5"/>
      <c r="F22" s="5"/>
    </row>
    <row r="23" spans="1:6" ht="12.75">
      <c r="A23" s="6"/>
      <c r="E23" s="5"/>
      <c r="F23" s="5"/>
    </row>
    <row r="24" spans="1:6" ht="12.75">
      <c r="A24" s="6"/>
      <c r="E24" s="5"/>
      <c r="F24" s="5"/>
    </row>
    <row r="25" spans="1:6" ht="12.75">
      <c r="A25" s="6"/>
      <c r="E25" s="5"/>
      <c r="F25" s="5"/>
    </row>
    <row r="26" spans="1:6" ht="12.75">
      <c r="A26" s="6"/>
      <c r="E26" s="5"/>
      <c r="F26" s="5"/>
    </row>
    <row r="27" spans="1:6" ht="12.75">
      <c r="A27" s="6"/>
      <c r="E27" s="5"/>
      <c r="F27" s="5"/>
    </row>
    <row r="28" spans="1:6" ht="12.75">
      <c r="A28" s="7" t="s">
        <v>17</v>
      </c>
      <c r="E28" s="5"/>
      <c r="F28" s="5"/>
    </row>
    <row r="29" spans="1:8" ht="12.75">
      <c r="A29" s="20">
        <v>1000</v>
      </c>
      <c r="B29" s="21">
        <f>10*LOG10(1+1/(4*PI()*PI()*B$31*B$31*$A29*$A29))</f>
        <v>0.0017402165857495484</v>
      </c>
      <c r="C29" s="21">
        <f>10*LOG10(1+(4*PI()*PI()*C$31*C$31*$A29*$A29))</f>
        <v>26.02300469790648</v>
      </c>
      <c r="D29" s="21">
        <f>10*LOG10(1+(4*PI()*PI()*D$31*D$31*$A29*$A29))</f>
        <v>0.8709469663096594</v>
      </c>
      <c r="E29" s="21">
        <f>10*LOG10(1+(4*PI()*PI()*E$31*E$31*$A29*$A29))</f>
        <v>6.982933245174172</v>
      </c>
      <c r="F29" s="21">
        <f>10*LOG10(1+(4*PI()*PI()*F$31*F$31*$A29*$A29))</f>
        <v>0.0017334511704965717</v>
      </c>
      <c r="G29" s="22">
        <f>E29-C29-D29</f>
        <v>-19.911018419041966</v>
      </c>
      <c r="H29" s="22">
        <f>E29+F29-C29-D29</f>
        <v>-19.90928496787147</v>
      </c>
    </row>
    <row r="30" spans="1:8" ht="12.75">
      <c r="A30" s="16" t="s">
        <v>62</v>
      </c>
      <c r="B30" s="16" t="s">
        <v>63</v>
      </c>
      <c r="C30" s="16" t="s">
        <v>18</v>
      </c>
      <c r="D30" s="16" t="s">
        <v>19</v>
      </c>
      <c r="E30" s="16" t="s">
        <v>20</v>
      </c>
      <c r="F30" s="16" t="s">
        <v>64</v>
      </c>
      <c r="G30" s="16" t="s">
        <v>65</v>
      </c>
      <c r="H30" s="16" t="s">
        <v>66</v>
      </c>
    </row>
    <row r="31" spans="1:8" ht="12.75">
      <c r="A31" s="16" t="s">
        <v>67</v>
      </c>
      <c r="B31" s="17">
        <v>0.00795</v>
      </c>
      <c r="C31" s="16">
        <v>0.00318</v>
      </c>
      <c r="D31" s="16">
        <v>7.5E-05</v>
      </c>
      <c r="E31" s="16">
        <v>0.000318</v>
      </c>
      <c r="F31" s="17">
        <v>3.18E-06</v>
      </c>
      <c r="G31" s="18" t="s">
        <v>21</v>
      </c>
      <c r="H31" s="18" t="s">
        <v>21</v>
      </c>
    </row>
    <row r="32" spans="1:8" ht="12.75">
      <c r="A32" s="16" t="s">
        <v>37</v>
      </c>
      <c r="B32" s="19">
        <f>1/B31/(2*PI())</f>
        <v>20.019489697093753</v>
      </c>
      <c r="C32" s="19">
        <f>1/C31/(2*PI())</f>
        <v>50.04872424273438</v>
      </c>
      <c r="D32" s="19">
        <f>1/D31/(2*PI())</f>
        <v>2122.065907891938</v>
      </c>
      <c r="E32" s="19">
        <f>1/E31/(2*PI())</f>
        <v>500.4872424273439</v>
      </c>
      <c r="F32" s="19">
        <f>1/F31/(2*PI())</f>
        <v>50048.72424273438</v>
      </c>
      <c r="G32" s="18" t="s">
        <v>68</v>
      </c>
      <c r="H32" s="18" t="s">
        <v>69</v>
      </c>
    </row>
    <row r="33" spans="1:8" ht="12.75">
      <c r="A33" s="20">
        <v>5</v>
      </c>
      <c r="B33" s="21">
        <f aca="true" t="shared" si="0" ref="B33:B40">10*LOG10(1+1/(4*PI()*PI()*B$31*B$31*$A33*$A33))</f>
        <v>12.312452160486577</v>
      </c>
      <c r="C33" s="21">
        <f aca="true" t="shared" si="1" ref="C33:F40">10*LOG10(1+(4*PI()*PI()*C$31*C$31*$A33*$A33))</f>
        <v>0.04313005472805183</v>
      </c>
      <c r="D33" s="21">
        <f t="shared" si="1"/>
        <v>2.411045342922048E-05</v>
      </c>
      <c r="E33" s="21">
        <f t="shared" si="1"/>
        <v>0.00043342766190464417</v>
      </c>
      <c r="F33" s="21">
        <f t="shared" si="1"/>
        <v>4.334492922927504E-08</v>
      </c>
      <c r="G33" s="22">
        <f aca="true" t="shared" si="2" ref="G33:G40">E33-C33-D33-G$29</f>
        <v>19.86829768152239</v>
      </c>
      <c r="H33" s="22">
        <f aca="true" t="shared" si="3" ref="H33:H40">E33+F33-C33-D33-H$29</f>
        <v>19.866564273696824</v>
      </c>
    </row>
    <row r="34" spans="1:8" ht="12.75">
      <c r="A34" s="23">
        <f>A33*(2^0.1)</f>
        <v>5.358867312681466</v>
      </c>
      <c r="B34" s="21">
        <f t="shared" si="0"/>
        <v>11.748145582349736</v>
      </c>
      <c r="C34" s="21">
        <f t="shared" si="1"/>
        <v>0.04950699822724122</v>
      </c>
      <c r="D34" s="21">
        <f t="shared" si="1"/>
        <v>2.769562676084189E-05</v>
      </c>
      <c r="E34" s="21">
        <f t="shared" si="1"/>
        <v>0.0004978739481081964</v>
      </c>
      <c r="F34" s="21">
        <f t="shared" si="1"/>
        <v>4.9790248043102765E-08</v>
      </c>
      <c r="G34" s="22">
        <f t="shared" si="2"/>
        <v>19.861981599136072</v>
      </c>
      <c r="H34" s="22">
        <f t="shared" si="3"/>
        <v>19.860248197755826</v>
      </c>
    </row>
    <row r="35" spans="1:8" ht="12.75">
      <c r="A35" s="23">
        <f>A34*(2^0.1)</f>
        <v>5.743491774985174</v>
      </c>
      <c r="B35" s="21">
        <f t="shared" si="0"/>
        <v>11.189051681778103</v>
      </c>
      <c r="C35" s="21">
        <f t="shared" si="1"/>
        <v>0.05682064575736298</v>
      </c>
      <c r="D35" s="21">
        <f t="shared" si="1"/>
        <v>3.181390581675155E-05</v>
      </c>
      <c r="E35" s="21">
        <f t="shared" si="1"/>
        <v>0.000571902110855779</v>
      </c>
      <c r="F35" s="21">
        <f t="shared" si="1"/>
        <v>5.719397622374019E-08</v>
      </c>
      <c r="G35" s="22">
        <f t="shared" si="2"/>
        <v>19.854737861489642</v>
      </c>
      <c r="H35" s="22">
        <f t="shared" si="3"/>
        <v>19.853004467513124</v>
      </c>
    </row>
    <row r="36" spans="1:8" ht="12.75">
      <c r="A36" s="23">
        <f aca="true" t="shared" si="4" ref="A36:A99">A35*(2^0.1)</f>
        <v>6.15572206672458</v>
      </c>
      <c r="B36" s="21">
        <f t="shared" si="0"/>
        <v>10.635827817252983</v>
      </c>
      <c r="C36" s="21">
        <f t="shared" si="1"/>
        <v>0.06520664901549533</v>
      </c>
      <c r="D36" s="21">
        <f t="shared" si="1"/>
        <v>3.654456137483297E-05</v>
      </c>
      <c r="E36" s="21">
        <f t="shared" si="1"/>
        <v>0.0006569365823966089</v>
      </c>
      <c r="F36" s="21">
        <f t="shared" si="1"/>
        <v>6.569862689877673E-08</v>
      </c>
      <c r="G36" s="22">
        <f t="shared" si="2"/>
        <v>19.846432162047492</v>
      </c>
      <c r="H36" s="22">
        <f t="shared" si="3"/>
        <v>19.844698776575626</v>
      </c>
    </row>
    <row r="37" spans="1:8" ht="12.75">
      <c r="A37" s="23">
        <f t="shared" si="4"/>
        <v>6.59753955386447</v>
      </c>
      <c r="B37" s="21">
        <f t="shared" si="0"/>
        <v>10.08919635067082</v>
      </c>
      <c r="C37" s="21">
        <f t="shared" si="1"/>
        <v>0.07481969571845574</v>
      </c>
      <c r="D37" s="21">
        <f t="shared" si="1"/>
        <v>4.1978651272210766E-05</v>
      </c>
      <c r="E37" s="21">
        <f t="shared" si="1"/>
        <v>0.0007546134852762855</v>
      </c>
      <c r="F37" s="21">
        <f t="shared" si="1"/>
        <v>7.546790428962514E-08</v>
      </c>
      <c r="G37" s="22">
        <f t="shared" si="2"/>
        <v>19.836911358157515</v>
      </c>
      <c r="H37" s="22">
        <f t="shared" si="3"/>
        <v>19.835177982454923</v>
      </c>
    </row>
    <row r="38" spans="1:8" ht="12.75">
      <c r="A38" s="23">
        <f t="shared" si="4"/>
        <v>7.071067811865474</v>
      </c>
      <c r="B38" s="21">
        <f t="shared" si="0"/>
        <v>9.549946037994989</v>
      </c>
      <c r="C38" s="21">
        <f t="shared" si="1"/>
        <v>0.08583599070211237</v>
      </c>
      <c r="D38" s="21">
        <f t="shared" si="1"/>
        <v>4.822077300766146E-05</v>
      </c>
      <c r="E38" s="21">
        <f t="shared" si="1"/>
        <v>0.0008668120718686123</v>
      </c>
      <c r="F38" s="21">
        <f t="shared" si="1"/>
        <v>8.668985706161688E-08</v>
      </c>
      <c r="G38" s="22">
        <f t="shared" si="2"/>
        <v>19.826001019638714</v>
      </c>
      <c r="H38" s="22">
        <f t="shared" si="3"/>
        <v>19.824267655158078</v>
      </c>
    </row>
    <row r="39" spans="1:8" ht="12.75">
      <c r="A39" s="23">
        <f t="shared" si="4"/>
        <v>7.578582832551988</v>
      </c>
      <c r="B39" s="21">
        <f t="shared" si="0"/>
        <v>9.018931900219297</v>
      </c>
      <c r="C39" s="21">
        <f t="shared" si="1"/>
        <v>0.09845600084711162</v>
      </c>
      <c r="D39" s="21">
        <f t="shared" si="1"/>
        <v>5.539107690450486E-05</v>
      </c>
      <c r="E39" s="21">
        <f t="shared" si="1"/>
        <v>0.0009956908266321948</v>
      </c>
      <c r="F39" s="21">
        <f t="shared" si="1"/>
        <v>9.958049647970629E-08</v>
      </c>
      <c r="G39" s="22">
        <f t="shared" si="2"/>
        <v>19.813502717944584</v>
      </c>
      <c r="H39" s="22">
        <f t="shared" si="3"/>
        <v>19.811769366354582</v>
      </c>
    </row>
    <row r="40" spans="1:8" ht="12.75">
      <c r="A40" s="23">
        <f t="shared" si="4"/>
        <v>8.122523963562353</v>
      </c>
      <c r="B40" s="21">
        <f t="shared" si="0"/>
        <v>8.49707314325841</v>
      </c>
      <c r="C40" s="21">
        <f t="shared" si="1"/>
        <v>0.11290747270477415</v>
      </c>
      <c r="D40" s="21">
        <f t="shared" si="1"/>
        <v>6.362757858587221E-05</v>
      </c>
      <c r="E40" s="21">
        <f t="shared" si="1"/>
        <v>0.0011437289205107404</v>
      </c>
      <c r="F40" s="21">
        <f t="shared" si="1"/>
        <v>1.1438795169427006E-07</v>
      </c>
      <c r="G40" s="22">
        <f t="shared" si="2"/>
        <v>19.799191047679116</v>
      </c>
      <c r="H40" s="22">
        <f t="shared" si="3"/>
        <v>19.797457710896573</v>
      </c>
    </row>
    <row r="41" spans="1:8" ht="12.75">
      <c r="A41" s="23">
        <f t="shared" si="4"/>
        <v>8.705505632961238</v>
      </c>
      <c r="B41" s="21">
        <f aca="true" t="shared" si="5" ref="B41:B104">10*LOG10(1+1/(4*PI()*PI()*B$31*B$31*$A41*$A41))</f>
        <v>7.9853486733663335</v>
      </c>
      <c r="C41" s="21">
        <f aca="true" t="shared" si="6" ref="C41:F72">10*LOG10(1+(4*PI()*PI()*C$31*C$31*$A41*$A41))</f>
        <v>0.12944872486743245</v>
      </c>
      <c r="D41" s="21">
        <f t="shared" si="6"/>
        <v>7.308881524087088E-05</v>
      </c>
      <c r="E41" s="21">
        <f t="shared" si="6"/>
        <v>0.0013137738081526735</v>
      </c>
      <c r="F41" s="21">
        <f t="shared" si="6"/>
        <v>1.3139725183935905E-07</v>
      </c>
      <c r="G41" s="22">
        <f aca="true" t="shared" si="7" ref="G41:G104">E41-C41-D41-G$29</f>
        <v>19.782810379167444</v>
      </c>
      <c r="H41" s="22">
        <f aca="true" t="shared" si="8" ref="H41:H104">E41+F41-C41-D41-H$29</f>
        <v>19.781077059394203</v>
      </c>
    </row>
    <row r="42" spans="1:8" ht="12.75">
      <c r="A42" s="23">
        <f t="shared" si="4"/>
        <v>9.33032991536807</v>
      </c>
      <c r="B42" s="21">
        <f t="shared" si="5"/>
        <v>7.484789763541951</v>
      </c>
      <c r="C42" s="21">
        <f t="shared" si="6"/>
        <v>0.14837220739927234</v>
      </c>
      <c r="D42" s="21">
        <f t="shared" si="6"/>
        <v>8.395689678514924E-05</v>
      </c>
      <c r="E42" s="21">
        <f t="shared" si="6"/>
        <v>0.0015090958745762894</v>
      </c>
      <c r="F42" s="21">
        <f t="shared" si="6"/>
        <v>1.5093580726783493E-07</v>
      </c>
      <c r="G42" s="22">
        <f t="shared" si="7"/>
        <v>19.764071350620483</v>
      </c>
      <c r="H42" s="22">
        <f t="shared" si="8"/>
        <v>19.762338050385797</v>
      </c>
    </row>
    <row r="43" spans="1:8" ht="12.75">
      <c r="A43" s="23">
        <f t="shared" si="4"/>
        <v>9.999999999999995</v>
      </c>
      <c r="B43" s="21">
        <f t="shared" si="5"/>
        <v>6.996469478432705</v>
      </c>
      <c r="C43" s="21">
        <f t="shared" si="6"/>
        <v>0.17000830730168137</v>
      </c>
      <c r="D43" s="21">
        <f t="shared" si="6"/>
        <v>9.644101061429229E-05</v>
      </c>
      <c r="E43" s="21">
        <f t="shared" si="6"/>
        <v>0.0017334511704965717</v>
      </c>
      <c r="F43" s="21">
        <f t="shared" si="6"/>
        <v>1.7337971239281086E-07</v>
      </c>
      <c r="G43" s="22">
        <f t="shared" si="7"/>
        <v>19.742647121900166</v>
      </c>
      <c r="H43" s="22">
        <f t="shared" si="8"/>
        <v>19.740913844109386</v>
      </c>
    </row>
    <row r="44" spans="1:8" ht="12.75">
      <c r="A44" s="23">
        <f t="shared" si="4"/>
        <v>10.717734625362926</v>
      </c>
      <c r="B44" s="21">
        <f t="shared" si="5"/>
        <v>6.521488572292914</v>
      </c>
      <c r="C44" s="21">
        <f t="shared" si="6"/>
        <v>0.19472936124752202</v>
      </c>
      <c r="D44" s="21">
        <f t="shared" si="6"/>
        <v>0.00011078144734544714</v>
      </c>
      <c r="E44" s="21">
        <f t="shared" si="6"/>
        <v>0.0019911534272506284</v>
      </c>
      <c r="F44" s="21">
        <f t="shared" si="6"/>
        <v>1.9916099067610586E-07</v>
      </c>
      <c r="G44" s="22">
        <f t="shared" si="7"/>
        <v>19.71816942977435</v>
      </c>
      <c r="H44" s="22">
        <f t="shared" si="8"/>
        <v>19.716436177764844</v>
      </c>
    </row>
    <row r="45" spans="1:8" ht="12.75">
      <c r="A45" s="23">
        <f t="shared" si="4"/>
        <v>11.486983549970343</v>
      </c>
      <c r="B45" s="21">
        <f t="shared" si="5"/>
        <v>6.060957745385963</v>
      </c>
      <c r="C45" s="21">
        <f t="shared" si="6"/>
        <v>0.22295381387493612</v>
      </c>
      <c r="D45" s="21">
        <f t="shared" si="6"/>
        <v>0.00012725422499102073</v>
      </c>
      <c r="E45" s="21">
        <f t="shared" si="6"/>
        <v>0.0022871567155170356</v>
      </c>
      <c r="F45" s="21">
        <f t="shared" si="6"/>
        <v>2.287759013400263E-07</v>
      </c>
      <c r="G45" s="22">
        <f t="shared" si="7"/>
        <v>19.690224507657557</v>
      </c>
      <c r="H45" s="22">
        <f t="shared" si="8"/>
        <v>19.688491285262963</v>
      </c>
    </row>
    <row r="46" spans="1:8" ht="12.75">
      <c r="A46" s="23">
        <f t="shared" si="4"/>
        <v>12.311444133449156</v>
      </c>
      <c r="B46" s="21">
        <f t="shared" si="5"/>
        <v>5.615976381427687</v>
      </c>
      <c r="C46" s="21">
        <f t="shared" si="6"/>
        <v>0.2551504310337708</v>
      </c>
      <c r="D46" s="21">
        <f t="shared" si="6"/>
        <v>0.00014617640046629747</v>
      </c>
      <c r="E46" s="21">
        <f t="shared" si="6"/>
        <v>0.0026271503099306787</v>
      </c>
      <c r="F46" s="21">
        <f t="shared" si="6"/>
        <v>2.627945006675777E-07</v>
      </c>
      <c r="G46" s="22">
        <f t="shared" si="7"/>
        <v>19.65834896191766</v>
      </c>
      <c r="H46" s="22">
        <f t="shared" si="8"/>
        <v>19.656615773541667</v>
      </c>
    </row>
    <row r="47" spans="1:8" ht="12.75">
      <c r="A47" s="23">
        <f t="shared" si="4"/>
        <v>13.195079107728935</v>
      </c>
      <c r="B47" s="21">
        <f t="shared" si="5"/>
        <v>5.187608185185093</v>
      </c>
      <c r="C47" s="21">
        <f t="shared" si="6"/>
        <v>0.2918424419601924</v>
      </c>
      <c r="D47" s="21">
        <f t="shared" si="6"/>
        <v>0.00016791217056554909</v>
      </c>
      <c r="E47" s="21">
        <f t="shared" si="6"/>
        <v>0.0030176675473941603</v>
      </c>
      <c r="F47" s="21">
        <f t="shared" si="6"/>
        <v>3.018716092900086E-07</v>
      </c>
      <c r="G47" s="22">
        <f t="shared" si="7"/>
        <v>19.622025732458603</v>
      </c>
      <c r="H47" s="22">
        <f t="shared" si="8"/>
        <v>19.620292583159717</v>
      </c>
    </row>
    <row r="48" spans="1:8" ht="12.75">
      <c r="A48" s="23">
        <f t="shared" si="4"/>
        <v>14.142135623730942</v>
      </c>
      <c r="B48" s="21">
        <f t="shared" si="5"/>
        <v>4.776854475590354</v>
      </c>
      <c r="C48" s="21">
        <f t="shared" si="6"/>
        <v>0.33361144222002753</v>
      </c>
      <c r="D48" s="21">
        <f t="shared" si="6"/>
        <v>0.00019287987967201817</v>
      </c>
      <c r="E48" s="21">
        <f t="shared" si="6"/>
        <v>0.00346621072407486</v>
      </c>
      <c r="F48" s="21">
        <f t="shared" si="6"/>
        <v>3.467594188282578E-07</v>
      </c>
      <c r="G48" s="22">
        <f t="shared" si="7"/>
        <v>19.58068030766634</v>
      </c>
      <c r="H48" s="22">
        <f t="shared" si="8"/>
        <v>19.578947203255264</v>
      </c>
    </row>
    <row r="49" spans="1:8" ht="12.75">
      <c r="A49" s="23">
        <f t="shared" si="4"/>
        <v>15.157165665103971</v>
      </c>
      <c r="B49" s="21">
        <f t="shared" si="5"/>
        <v>4.384626232493146</v>
      </c>
      <c r="C49" s="21">
        <f t="shared" si="6"/>
        <v>0.3811008408328362</v>
      </c>
      <c r="D49" s="21">
        <f t="shared" si="6"/>
        <v>0.00022156006890872485</v>
      </c>
      <c r="E49" s="21">
        <f t="shared" si="6"/>
        <v>0.003981394368779676</v>
      </c>
      <c r="F49" s="21">
        <f t="shared" si="6"/>
        <v>3.9832197125465795E-07</v>
      </c>
      <c r="G49" s="22">
        <f t="shared" si="7"/>
        <v>19.533677412509</v>
      </c>
      <c r="H49" s="22">
        <f t="shared" si="8"/>
        <v>19.53194435966048</v>
      </c>
    </row>
    <row r="50" spans="1:8" ht="12.75">
      <c r="A50" s="23">
        <f t="shared" si="4"/>
        <v>16.2450479271247</v>
      </c>
      <c r="B50" s="21">
        <f t="shared" si="5"/>
        <v>4.011716299421478</v>
      </c>
      <c r="C50" s="21">
        <f t="shared" si="6"/>
        <v>0.4350185816366141</v>
      </c>
      <c r="D50" s="21">
        <f t="shared" si="6"/>
        <v>0.00025450472136839976</v>
      </c>
      <c r="E50" s="21">
        <f t="shared" si="6"/>
        <v>0.004573109562981199</v>
      </c>
      <c r="F50" s="21">
        <f t="shared" si="6"/>
        <v>4.5755179062868834E-07</v>
      </c>
      <c r="G50" s="22">
        <f t="shared" si="7"/>
        <v>19.480318442246965</v>
      </c>
      <c r="H50" s="22">
        <f t="shared" si="8"/>
        <v>19.478585448628262</v>
      </c>
    </row>
    <row r="51" spans="1:8" ht="12.75">
      <c r="A51" s="23">
        <f t="shared" si="4"/>
        <v>17.41101126592247</v>
      </c>
      <c r="B51" s="21">
        <f t="shared" si="5"/>
        <v>3.6587733591052145</v>
      </c>
      <c r="C51" s="21">
        <f t="shared" si="6"/>
        <v>0.4961388133746715</v>
      </c>
      <c r="D51" s="21">
        <f t="shared" si="6"/>
        <v>0.0002923478810412342</v>
      </c>
      <c r="E51" s="21">
        <f t="shared" si="6"/>
        <v>0.005252712355070051</v>
      </c>
      <c r="F51" s="21">
        <f t="shared" si="6"/>
        <v>5.255889844689576E-07</v>
      </c>
      <c r="G51" s="22">
        <f t="shared" si="7"/>
        <v>19.41983997014132</v>
      </c>
      <c r="H51" s="22">
        <f t="shared" si="8"/>
        <v>19.418107044559815</v>
      </c>
    </row>
    <row r="52" spans="1:8" ht="12.75">
      <c r="A52" s="23">
        <f t="shared" si="4"/>
        <v>18.660659830736133</v>
      </c>
      <c r="B52" s="21">
        <f t="shared" si="5"/>
        <v>3.326279374412204</v>
      </c>
      <c r="C52" s="21">
        <f t="shared" si="6"/>
        <v>0.5653021296077689</v>
      </c>
      <c r="D52" s="21">
        <f t="shared" si="6"/>
        <v>0.0003358178493582706</v>
      </c>
      <c r="E52" s="21">
        <f t="shared" si="6"/>
        <v>0.006033239743569669</v>
      </c>
      <c r="F52" s="21">
        <f t="shared" si="6"/>
        <v>6.037431966330466E-07</v>
      </c>
      <c r="G52" s="22">
        <f t="shared" si="7"/>
        <v>19.35141371132841</v>
      </c>
      <c r="H52" s="22">
        <f t="shared" si="8"/>
        <v>19.34968086390111</v>
      </c>
    </row>
    <row r="53" spans="1:8" ht="12.75">
      <c r="A53" s="23">
        <f t="shared" si="4"/>
        <v>19.999999999999982</v>
      </c>
      <c r="B53" s="21">
        <f t="shared" si="5"/>
        <v>3.0145320899213752</v>
      </c>
      <c r="C53" s="21">
        <f t="shared" si="6"/>
        <v>0.6434139548778662</v>
      </c>
      <c r="D53" s="21">
        <f t="shared" si="6"/>
        <v>0.0003857511934972326</v>
      </c>
      <c r="E53" s="21">
        <f t="shared" si="6"/>
        <v>0.006929657186476725</v>
      </c>
      <c r="F53" s="21">
        <f t="shared" si="6"/>
        <v>6.935188099697523E-07</v>
      </c>
      <c r="G53" s="22">
        <f t="shared" si="7"/>
        <v>19.27414837015708</v>
      </c>
      <c r="H53" s="22">
        <f t="shared" si="8"/>
        <v>19.272415612505394</v>
      </c>
    </row>
    <row r="54" spans="1:8" ht="12.75">
      <c r="A54" s="23">
        <f t="shared" si="4"/>
        <v>21.435469250725845</v>
      </c>
      <c r="B54" s="21">
        <f t="shared" si="5"/>
        <v>2.7236339079484995</v>
      </c>
      <c r="C54" s="21">
        <f t="shared" si="6"/>
        <v>0.7314406263245861</v>
      </c>
      <c r="D54" s="21">
        <f t="shared" si="6"/>
        <v>0.00044310883526441617</v>
      </c>
      <c r="E54" s="21">
        <f t="shared" si="6"/>
        <v>0.007959142137305773</v>
      </c>
      <c r="F54" s="21">
        <f t="shared" si="6"/>
        <v>7.96643906940741E-07</v>
      </c>
      <c r="G54" s="22">
        <f t="shared" si="7"/>
        <v>19.18709382601942</v>
      </c>
      <c r="H54" s="22">
        <f t="shared" si="8"/>
        <v>19.185361171492833</v>
      </c>
    </row>
    <row r="55" spans="1:8" ht="12.75">
      <c r="A55" s="23">
        <f t="shared" si="4"/>
        <v>22.97396709994068</v>
      </c>
      <c r="B55" s="21">
        <f t="shared" si="5"/>
        <v>2.453488007338402</v>
      </c>
      <c r="C55" s="21">
        <f t="shared" si="6"/>
        <v>0.8304027210082755</v>
      </c>
      <c r="D55" s="21">
        <f t="shared" si="6"/>
        <v>0.000508994529155226</v>
      </c>
      <c r="E55" s="21">
        <f t="shared" si="6"/>
        <v>0.009141408718426182</v>
      </c>
      <c r="F55" s="21">
        <f t="shared" si="6"/>
        <v>9.151035320875971E-07</v>
      </c>
      <c r="G55" s="22">
        <f t="shared" si="7"/>
        <v>19.08924811222296</v>
      </c>
      <c r="H55" s="22">
        <f t="shared" si="8"/>
        <v>19.087515576155997</v>
      </c>
    </row>
    <row r="56" spans="1:8" ht="12.75">
      <c r="A56" s="23">
        <f t="shared" si="4"/>
        <v>24.622888266898304</v>
      </c>
      <c r="B56" s="21">
        <f t="shared" si="5"/>
        <v>2.203802013868194</v>
      </c>
      <c r="C56" s="21">
        <f t="shared" si="6"/>
        <v>0.9413652207130129</v>
      </c>
      <c r="D56" s="21">
        <f t="shared" si="6"/>
        <v>0.0005846760838378096</v>
      </c>
      <c r="E56" s="21">
        <f t="shared" si="6"/>
        <v>0.010499079324439184</v>
      </c>
      <c r="F56" s="21">
        <f t="shared" si="6"/>
        <v>1.051177906294769E-06</v>
      </c>
      <c r="G56" s="22">
        <f t="shared" si="7"/>
        <v>18.979567601569553</v>
      </c>
      <c r="H56" s="22">
        <f t="shared" si="8"/>
        <v>18.977835201576966</v>
      </c>
    </row>
    <row r="57" spans="1:8" ht="12.75">
      <c r="A57" s="23">
        <f t="shared" si="4"/>
        <v>26.390158215457863</v>
      </c>
      <c r="B57" s="21">
        <f t="shared" si="5"/>
        <v>1.9740989301141556</v>
      </c>
      <c r="C57" s="21">
        <f t="shared" si="6"/>
        <v>1.065424200086516</v>
      </c>
      <c r="D57" s="21">
        <f t="shared" si="6"/>
        <v>0.0006716097336368163</v>
      </c>
      <c r="E57" s="21">
        <f t="shared" si="6"/>
        <v>0.012058109707584414</v>
      </c>
      <c r="F57" s="21">
        <f t="shared" si="6"/>
        <v>1.2074863093355319E-06</v>
      </c>
      <c r="G57" s="22">
        <f t="shared" si="7"/>
        <v>18.856980718929396</v>
      </c>
      <c r="H57" s="22">
        <f t="shared" si="8"/>
        <v>18.85524847524521</v>
      </c>
    </row>
    <row r="58" spans="1:8" ht="12.75">
      <c r="A58" s="23">
        <f t="shared" si="4"/>
        <v>28.284271247461877</v>
      </c>
      <c r="B58" s="21">
        <f t="shared" si="5"/>
        <v>1.7637344709336855</v>
      </c>
      <c r="C58" s="21">
        <f t="shared" si="6"/>
        <v>1.203689880328039</v>
      </c>
      <c r="D58" s="21">
        <f t="shared" si="6"/>
        <v>0.0007714681266551268</v>
      </c>
      <c r="E58" s="21">
        <f t="shared" si="6"/>
        <v>0.013848274937415628</v>
      </c>
      <c r="F58" s="21">
        <f t="shared" si="6"/>
        <v>1.3870375091924694E-06</v>
      </c>
      <c r="G58" s="22">
        <f t="shared" si="7"/>
        <v>18.72040534552469</v>
      </c>
      <c r="H58" s="22">
        <f t="shared" si="8"/>
        <v>18.718673281391702</v>
      </c>
    </row>
    <row r="59" spans="1:8" ht="12.75">
      <c r="A59" s="23">
        <f t="shared" si="4"/>
        <v>30.314331330207935</v>
      </c>
      <c r="B59" s="21">
        <f t="shared" si="5"/>
        <v>1.5719195011948375</v>
      </c>
      <c r="C59" s="21">
        <f t="shared" si="6"/>
        <v>1.3572661135059114</v>
      </c>
      <c r="D59" s="21">
        <f t="shared" si="6"/>
        <v>0.0008861724649328045</v>
      </c>
      <c r="E59" s="21">
        <f t="shared" si="6"/>
        <v>0.015903724550520082</v>
      </c>
      <c r="F59" s="21">
        <f t="shared" si="6"/>
        <v>1.5932876667855727E-06</v>
      </c>
      <c r="G59" s="22">
        <f t="shared" si="7"/>
        <v>18.568769857621643</v>
      </c>
      <c r="H59" s="22">
        <f t="shared" si="8"/>
        <v>18.567037999738815</v>
      </c>
    </row>
    <row r="60" spans="1:8" ht="12.75">
      <c r="A60" s="23">
        <f t="shared" si="4"/>
        <v>32.49009585424939</v>
      </c>
      <c r="B60" s="21">
        <f t="shared" si="5"/>
        <v>1.3977459859444124</v>
      </c>
      <c r="C60" s="21">
        <f t="shared" si="6"/>
        <v>1.5272266473053322</v>
      </c>
      <c r="D60" s="21">
        <f t="shared" si="6"/>
        <v>0.0010179294109795628</v>
      </c>
      <c r="E60" s="21">
        <f t="shared" si="6"/>
        <v>0.018263616212495094</v>
      </c>
      <c r="F60" s="21">
        <f t="shared" si="6"/>
        <v>1.8302068723177532E-06</v>
      </c>
      <c r="G60" s="22">
        <f t="shared" si="7"/>
        <v>18.40103745853815</v>
      </c>
      <c r="H60" s="22">
        <f t="shared" si="8"/>
        <v>18.399305837574527</v>
      </c>
    </row>
    <row r="61" spans="1:8" ht="12.75">
      <c r="A61" s="23">
        <f t="shared" si="4"/>
        <v>34.82202253184493</v>
      </c>
      <c r="B61" s="21">
        <f t="shared" si="5"/>
        <v>1.2402147606215943</v>
      </c>
      <c r="C61" s="21">
        <f t="shared" si="6"/>
        <v>1.7145888499140929</v>
      </c>
      <c r="D61" s="21">
        <f t="shared" si="6"/>
        <v>0.0011692734652922437</v>
      </c>
      <c r="E61" s="21">
        <f t="shared" si="6"/>
        <v>0.020972838299596022</v>
      </c>
      <c r="F61" s="21">
        <f t="shared" si="6"/>
        <v>2.1023555571953788E-06</v>
      </c>
      <c r="G61" s="22">
        <f t="shared" si="7"/>
        <v>18.216233133962177</v>
      </c>
      <c r="H61" s="22">
        <f t="shared" si="8"/>
        <v>18.214501785147238</v>
      </c>
    </row>
    <row r="62" spans="1:8" ht="12.75">
      <c r="A62" s="23">
        <f t="shared" si="4"/>
        <v>37.32131966147226</v>
      </c>
      <c r="B62" s="21">
        <f t="shared" si="5"/>
        <v>1.0982635003330343</v>
      </c>
      <c r="C62" s="21">
        <f t="shared" si="6"/>
        <v>1.9202859195901303</v>
      </c>
      <c r="D62" s="21">
        <f t="shared" si="6"/>
        <v>0.001343115623014264</v>
      </c>
      <c r="E62" s="21">
        <f t="shared" si="6"/>
        <v>0.024082832961706657</v>
      </c>
      <c r="F62" s="21">
        <f t="shared" si="6"/>
        <v>2.414972283913239E-06</v>
      </c>
      <c r="G62" s="22">
        <f t="shared" si="7"/>
        <v>18.01347221679053</v>
      </c>
      <c r="H62" s="22">
        <f t="shared" si="8"/>
        <v>18.011741180592317</v>
      </c>
    </row>
    <row r="63" spans="1:8" ht="12.75">
      <c r="A63" s="23">
        <f t="shared" si="4"/>
        <v>39.99999999999996</v>
      </c>
      <c r="B63" s="21">
        <f t="shared" si="5"/>
        <v>0.9707934783232204</v>
      </c>
      <c r="C63" s="21">
        <f t="shared" si="6"/>
        <v>2.145138920441644</v>
      </c>
      <c r="D63" s="21">
        <f t="shared" si="6"/>
        <v>0.0015427992362868456</v>
      </c>
      <c r="E63" s="21">
        <f t="shared" si="6"/>
        <v>0.027652532434465645</v>
      </c>
      <c r="F63" s="21">
        <f t="shared" si="6"/>
        <v>2.7740745744326125E-06</v>
      </c>
      <c r="G63" s="22">
        <f t="shared" si="7"/>
        <v>17.7919892317985</v>
      </c>
      <c r="H63" s="22">
        <f t="shared" si="8"/>
        <v>17.790258554702582</v>
      </c>
    </row>
    <row r="64" spans="1:8" ht="12.75">
      <c r="A64" s="23">
        <f t="shared" si="4"/>
        <v>42.87093850145168</v>
      </c>
      <c r="B64" s="21">
        <f t="shared" si="5"/>
        <v>0.856694006207738</v>
      </c>
      <c r="C64" s="21">
        <f t="shared" si="6"/>
        <v>2.389830224461422</v>
      </c>
      <c r="D64" s="21">
        <f t="shared" si="6"/>
        <v>0.0017721641443705749</v>
      </c>
      <c r="E64" s="21">
        <f t="shared" si="6"/>
        <v>0.03174942259871072</v>
      </c>
      <c r="F64" s="21">
        <f t="shared" si="6"/>
        <v>3.1865747490450316E-06</v>
      </c>
      <c r="G64" s="22">
        <f t="shared" si="7"/>
        <v>17.551165453034884</v>
      </c>
      <c r="H64" s="22">
        <f t="shared" si="8"/>
        <v>17.54943518843914</v>
      </c>
    </row>
    <row r="65" spans="1:8" ht="12.75">
      <c r="A65" s="23">
        <f t="shared" si="4"/>
        <v>45.94793419988135</v>
      </c>
      <c r="B65" s="21">
        <f t="shared" si="5"/>
        <v>0.7548637908786482</v>
      </c>
      <c r="C65" s="21">
        <f t="shared" si="6"/>
        <v>2.654880049757829</v>
      </c>
      <c r="D65" s="21">
        <f t="shared" si="6"/>
        <v>0.0020356202885391857</v>
      </c>
      <c r="E65" s="21">
        <f t="shared" si="6"/>
        <v>0.03645074899853147</v>
      </c>
      <c r="F65" s="21">
        <f t="shared" si="6"/>
        <v>3.660412973348759E-06</v>
      </c>
      <c r="G65" s="22">
        <f t="shared" si="7"/>
        <v>17.29055349799413</v>
      </c>
      <c r="H65" s="22">
        <f t="shared" si="8"/>
        <v>17.28882370723661</v>
      </c>
    </row>
    <row r="66" spans="1:8" ht="12.75">
      <c r="A66" s="23">
        <f t="shared" si="4"/>
        <v>49.2457765337966</v>
      </c>
      <c r="B66" s="21">
        <f t="shared" si="5"/>
        <v>0.6642287799364444</v>
      </c>
      <c r="C66" s="21">
        <f t="shared" si="6"/>
        <v>2.940627727395777</v>
      </c>
      <c r="D66" s="21">
        <f t="shared" si="6"/>
        <v>0.0023382322057821535</v>
      </c>
      <c r="E66" s="21">
        <f t="shared" si="6"/>
        <v>0.041844881665026805</v>
      </c>
      <c r="F66" s="21">
        <f t="shared" si="6"/>
        <v>4.2047100976362465E-06</v>
      </c>
      <c r="G66" s="22">
        <f t="shared" si="7"/>
        <v>17.009897341105432</v>
      </c>
      <c r="H66" s="22">
        <f t="shared" si="8"/>
        <v>17.008168094645036</v>
      </c>
    </row>
    <row r="67" spans="1:8" ht="12.75">
      <c r="A67" s="23">
        <f t="shared" si="4"/>
        <v>52.78031643091571</v>
      </c>
      <c r="B67" s="21">
        <f t="shared" si="5"/>
        <v>0.5837563654672836</v>
      </c>
      <c r="C67" s="21">
        <f t="shared" si="6"/>
        <v>3.247219087603942</v>
      </c>
      <c r="D67" s="21">
        <f t="shared" si="6"/>
        <v>0.002685815997403601</v>
      </c>
      <c r="E67" s="21">
        <f t="shared" si="6"/>
        <v>0.04803285606747799</v>
      </c>
      <c r="F67" s="21">
        <f t="shared" si="6"/>
        <v>4.829943223974287E-06</v>
      </c>
      <c r="G67" s="22">
        <f t="shared" si="7"/>
        <v>16.709146371508098</v>
      </c>
      <c r="H67" s="22">
        <f t="shared" si="8"/>
        <v>16.70741775028083</v>
      </c>
    </row>
    <row r="68" spans="1:8" ht="12.75">
      <c r="A68" s="23">
        <f t="shared" si="4"/>
        <v>56.56854249492374</v>
      </c>
      <c r="B68" s="21">
        <f t="shared" si="5"/>
        <v>0.5124660550086487</v>
      </c>
      <c r="C68" s="21">
        <f t="shared" si="6"/>
        <v>3.5746009432747576</v>
      </c>
      <c r="D68" s="21">
        <f t="shared" si="6"/>
        <v>0.0030850505991042616</v>
      </c>
      <c r="E68" s="21">
        <f t="shared" si="6"/>
        <v>0.05513010821212732</v>
      </c>
      <c r="F68" s="21">
        <f t="shared" si="6"/>
        <v>5.548147377878686E-06</v>
      </c>
      <c r="G68" s="22">
        <f t="shared" si="7"/>
        <v>16.38846253338023</v>
      </c>
      <c r="H68" s="22">
        <f t="shared" si="8"/>
        <v>16.386734630357115</v>
      </c>
    </row>
    <row r="69" spans="1:8" ht="12.75">
      <c r="A69" s="23">
        <f t="shared" si="4"/>
        <v>60.628662660415856</v>
      </c>
      <c r="B69" s="21">
        <f t="shared" si="5"/>
        <v>0.44943689124660485</v>
      </c>
      <c r="C69" s="21">
        <f t="shared" si="6"/>
        <v>3.9225231085967716</v>
      </c>
      <c r="D69" s="21">
        <f t="shared" si="6"/>
        <v>0.0035436054417031307</v>
      </c>
      <c r="E69" s="21">
        <f t="shared" si="6"/>
        <v>0.06326842217715739</v>
      </c>
      <c r="F69" s="21">
        <f t="shared" si="6"/>
        <v>6.373147160951649E-06</v>
      </c>
      <c r="G69" s="22">
        <f t="shared" si="7"/>
        <v>16.04822012718065</v>
      </c>
      <c r="H69" s="22">
        <f t="shared" si="8"/>
        <v>16.046493049157316</v>
      </c>
    </row>
    <row r="70" spans="1:8" ht="12.75">
      <c r="A70" s="23">
        <f t="shared" si="4"/>
        <v>64.98019170849877</v>
      </c>
      <c r="B70" s="21">
        <f t="shared" si="5"/>
        <v>0.3938120107271264</v>
      </c>
      <c r="C70" s="21">
        <f t="shared" si="6"/>
        <v>4.290547791895197</v>
      </c>
      <c r="D70" s="21">
        <f t="shared" si="6"/>
        <v>0.004070286890382433</v>
      </c>
      <c r="E70" s="21">
        <f t="shared" si="6"/>
        <v>0.07259810800812411</v>
      </c>
      <c r="F70" s="21">
        <f t="shared" si="6"/>
        <v>7.320822860588803E-06</v>
      </c>
      <c r="G70" s="22">
        <f t="shared" si="7"/>
        <v>15.688998448264512</v>
      </c>
      <c r="H70" s="22">
        <f t="shared" si="8"/>
        <v>15.687272317916877</v>
      </c>
    </row>
    <row r="71" spans="1:8" ht="12.75">
      <c r="A71" s="23">
        <f t="shared" si="4"/>
        <v>69.64404506368984</v>
      </c>
      <c r="B71" s="21">
        <f t="shared" si="5"/>
        <v>0.3448007853077907</v>
      </c>
      <c r="C71" s="21">
        <f t="shared" si="6"/>
        <v>4.67806562467714</v>
      </c>
      <c r="D71" s="21">
        <f t="shared" si="6"/>
        <v>0.004675206189737186</v>
      </c>
      <c r="E71" s="21">
        <f t="shared" si="6"/>
        <v>0.08329042663888506</v>
      </c>
      <c r="F71" s="21">
        <f t="shared" si="6"/>
        <v>8.409416123436761E-06</v>
      </c>
      <c r="G71" s="22">
        <f t="shared" si="7"/>
        <v>15.311568014813973</v>
      </c>
      <c r="H71" s="22">
        <f t="shared" si="8"/>
        <v>15.309842973059602</v>
      </c>
    </row>
    <row r="72" spans="1:8" ht="12.75">
      <c r="A72" s="23">
        <f t="shared" si="4"/>
        <v>74.6426393229445</v>
      </c>
      <c r="B72" s="21">
        <f t="shared" si="5"/>
        <v>0.3016789999776891</v>
      </c>
      <c r="C72" s="21">
        <f t="shared" si="6"/>
        <v>5.084317109462232</v>
      </c>
      <c r="D72" s="21">
        <f t="shared" si="6"/>
        <v>0.00536997202680546</v>
      </c>
      <c r="E72" s="21">
        <f t="shared" si="6"/>
        <v>0.09554027601587992</v>
      </c>
      <c r="F72" s="21">
        <f t="shared" si="6"/>
        <v>9.659881077367422E-06</v>
      </c>
      <c r="G72" s="22">
        <f t="shared" si="7"/>
        <v>14.916871613568809</v>
      </c>
      <c r="H72" s="22">
        <f t="shared" si="8"/>
        <v>14.91514782227939</v>
      </c>
    </row>
    <row r="73" spans="1:8" ht="12.75">
      <c r="A73" s="23">
        <f t="shared" si="4"/>
        <v>79.9999999999999</v>
      </c>
      <c r="B73" s="21">
        <f t="shared" si="5"/>
        <v>0.2637874993659775</v>
      </c>
      <c r="C73" s="21">
        <f aca="true" t="shared" si="9" ref="C73:F104">10*LOG10(1+(4*PI()*PI()*C$31*C$31*$A73*$A73))</f>
        <v>5.5084179438905</v>
      </c>
      <c r="D73" s="21">
        <f t="shared" si="9"/>
        <v>0.006167911259831617</v>
      </c>
      <c r="E73" s="21">
        <f t="shared" si="9"/>
        <v>0.10956914847320318</v>
      </c>
      <c r="F73" s="21">
        <f t="shared" si="9"/>
        <v>1.1096287667962964E-05</v>
      </c>
      <c r="G73" s="22">
        <f t="shared" si="7"/>
        <v>14.506001712364839</v>
      </c>
      <c r="H73" s="22">
        <f t="shared" si="8"/>
        <v>14.504279357482012</v>
      </c>
    </row>
    <row r="74" spans="1:8" ht="12.75">
      <c r="A74" s="23">
        <f t="shared" si="4"/>
        <v>85.74187700290334</v>
      </c>
      <c r="B74" s="21">
        <f t="shared" si="5"/>
        <v>0.23052969399875475</v>
      </c>
      <c r="C74" s="21">
        <f t="shared" si="9"/>
        <v>5.949386535533739</v>
      </c>
      <c r="D74" s="21">
        <f t="shared" si="9"/>
        <v>0.007084321852310005</v>
      </c>
      <c r="E74" s="21">
        <f t="shared" si="9"/>
        <v>0.12562836312521652</v>
      </c>
      <c r="F74" s="21">
        <f t="shared" si="9"/>
        <v>1.2746284969506061E-05</v>
      </c>
      <c r="G74" s="22">
        <f t="shared" si="7"/>
        <v>14.080175924781134</v>
      </c>
      <c r="H74" s="22">
        <f t="shared" si="8"/>
        <v>14.07845521989561</v>
      </c>
    </row>
    <row r="75" spans="1:8" ht="12.75">
      <c r="A75" s="23">
        <f t="shared" si="4"/>
        <v>91.89586839976268</v>
      </c>
      <c r="B75" s="21">
        <f t="shared" si="5"/>
        <v>0.20136826544685074</v>
      </c>
      <c r="C75" s="21">
        <f t="shared" si="9"/>
        <v>6.406172057319336</v>
      </c>
      <c r="D75" s="21">
        <f t="shared" si="9"/>
        <v>0.008136762605470424</v>
      </c>
      <c r="E75" s="21">
        <f t="shared" si="9"/>
        <v>0.14400256800918418</v>
      </c>
      <c r="F75" s="21">
        <f t="shared" si="9"/>
        <v>1.4641633381585177E-05</v>
      </c>
      <c r="G75" s="22">
        <f t="shared" si="7"/>
        <v>13.640712167126344</v>
      </c>
      <c r="H75" s="22">
        <f t="shared" si="8"/>
        <v>13.63899335758923</v>
      </c>
    </row>
    <row r="76" spans="1:8" ht="12.75">
      <c r="A76" s="23">
        <f t="shared" si="4"/>
        <v>98.49155306759317</v>
      </c>
      <c r="B76" s="21">
        <f t="shared" si="5"/>
        <v>0.17582135398563248</v>
      </c>
      <c r="C76" s="21">
        <f t="shared" si="9"/>
        <v>6.877681577786259</v>
      </c>
      <c r="D76" s="21">
        <f t="shared" si="9"/>
        <v>0.009345384903546885</v>
      </c>
      <c r="E76" s="21">
        <f t="shared" si="9"/>
        <v>0.1650134942259683</v>
      </c>
      <c r="F76" s="21">
        <f t="shared" si="9"/>
        <v>1.6818815963419425E-05</v>
      </c>
      <c r="G76" s="22">
        <f t="shared" si="7"/>
        <v>13.189004950578129</v>
      </c>
      <c r="H76" s="22">
        <f t="shared" si="8"/>
        <v>13.187288318223597</v>
      </c>
    </row>
    <row r="77" spans="1:8" ht="12.75">
      <c r="A77" s="23">
        <f t="shared" si="4"/>
        <v>105.5606328618314</v>
      </c>
      <c r="B77" s="21">
        <f t="shared" si="5"/>
        <v>0.15345845817380338</v>
      </c>
      <c r="C77" s="21">
        <f t="shared" si="9"/>
        <v>7.362805087260052</v>
      </c>
      <c r="D77" s="21">
        <f t="shared" si="9"/>
        <v>0.010733312380280167</v>
      </c>
      <c r="E77" s="21">
        <f t="shared" si="9"/>
        <v>0.18902392762077563</v>
      </c>
      <c r="F77" s="21">
        <f t="shared" si="9"/>
        <v>1.9319740667636397E-05</v>
      </c>
      <c r="G77" s="22">
        <f t="shared" si="7"/>
        <v>12.726503947022408</v>
      </c>
      <c r="H77" s="22">
        <f t="shared" si="8"/>
        <v>12.724789815592583</v>
      </c>
    </row>
    <row r="78" spans="1:8" ht="12.75">
      <c r="A78" s="23">
        <f t="shared" si="4"/>
        <v>113.13708498984744</v>
      </c>
      <c r="B78" s="21">
        <f t="shared" si="5"/>
        <v>0.13389622593951017</v>
      </c>
      <c r="C78" s="21">
        <f t="shared" si="9"/>
        <v>7.860437578828146</v>
      </c>
      <c r="D78" s="21">
        <f t="shared" si="9"/>
        <v>0.012327075187035937</v>
      </c>
      <c r="E78" s="21">
        <f t="shared" si="9"/>
        <v>0.21644184181106796</v>
      </c>
      <c r="F78" s="21">
        <f t="shared" si="9"/>
        <v>2.2192546983856413E-05</v>
      </c>
      <c r="G78" s="22">
        <f t="shared" si="7"/>
        <v>12.254695606837851</v>
      </c>
      <c r="H78" s="22">
        <f t="shared" si="8"/>
        <v>12.25298434821434</v>
      </c>
    </row>
    <row r="79" spans="1:8" ht="12.75">
      <c r="A79" s="23">
        <f t="shared" si="4"/>
        <v>121.25732532083167</v>
      </c>
      <c r="B79" s="21">
        <f t="shared" si="5"/>
        <v>0.11679427300003596</v>
      </c>
      <c r="C79" s="21">
        <f t="shared" si="9"/>
        <v>8.369497684461502</v>
      </c>
      <c r="D79" s="21">
        <f t="shared" si="9"/>
        <v>0.01415710639634498</v>
      </c>
      <c r="E79" s="21">
        <f t="shared" si="9"/>
        <v>0.24772460883401407</v>
      </c>
      <c r="F79" s="21">
        <f t="shared" si="9"/>
        <v>2.5492532528568642E-05</v>
      </c>
      <c r="G79" s="22">
        <f t="shared" si="7"/>
        <v>11.775088237018133</v>
      </c>
      <c r="H79" s="22">
        <f t="shared" si="8"/>
        <v>11.773380278380168</v>
      </c>
    </row>
    <row r="80" spans="1:8" ht="12.75">
      <c r="A80" s="23">
        <f t="shared" si="4"/>
        <v>129.9603834169975</v>
      </c>
      <c r="B80" s="21">
        <f t="shared" si="5"/>
        <v>0.10185112736121787</v>
      </c>
      <c r="C80" s="21">
        <f t="shared" si="9"/>
        <v>8.888942675323685</v>
      </c>
      <c r="D80" s="21">
        <f t="shared" si="9"/>
        <v>0.01625830901153063</v>
      </c>
      <c r="E80" s="21">
        <f t="shared" si="9"/>
        <v>0.28338316973124456</v>
      </c>
      <c r="F80" s="21">
        <f t="shared" si="9"/>
        <v>2.9283217401109753E-05</v>
      </c>
      <c r="G80" s="22">
        <f t="shared" si="7"/>
        <v>11.289200604437996</v>
      </c>
      <c r="H80" s="22">
        <f t="shared" si="8"/>
        <v>11.287496436484902</v>
      </c>
    </row>
    <row r="81" spans="1:8" ht="12.75">
      <c r="A81" s="23">
        <f t="shared" si="4"/>
        <v>139.28809012737966</v>
      </c>
      <c r="B81" s="21">
        <f t="shared" si="5"/>
        <v>0.08880036817433733</v>
      </c>
      <c r="C81" s="21">
        <f t="shared" si="9"/>
        <v>9.417779888291268</v>
      </c>
      <c r="D81" s="21">
        <f t="shared" si="9"/>
        <v>0.01867070307246459</v>
      </c>
      <c r="E81" s="21">
        <f t="shared" si="9"/>
        <v>0.3239860067165311</v>
      </c>
      <c r="F81" s="21">
        <f t="shared" si="9"/>
        <v>3.363756679423903E-05</v>
      </c>
      <c r="G81" s="22">
        <f t="shared" si="7"/>
        <v>10.798553834394765</v>
      </c>
      <c r="H81" s="22">
        <f t="shared" si="8"/>
        <v>10.796854020791065</v>
      </c>
    </row>
    <row r="82" spans="1:8" ht="12.75">
      <c r="A82" s="23">
        <f t="shared" si="4"/>
        <v>149.28527864588898</v>
      </c>
      <c r="B82" s="21">
        <f t="shared" si="5"/>
        <v>0.07740700287676817</v>
      </c>
      <c r="C82" s="21">
        <f t="shared" si="9"/>
        <v>9.955074828037628</v>
      </c>
      <c r="D82" s="21">
        <f t="shared" si="9"/>
        <v>0.02144016344451322</v>
      </c>
      <c r="E82" s="21">
        <f t="shared" si="9"/>
        <v>0.3701627114447395</v>
      </c>
      <c r="F82" s="21">
        <f t="shared" si="9"/>
        <v>3.8639395392082947E-05</v>
      </c>
      <c r="G82" s="22">
        <f t="shared" si="7"/>
        <v>10.304666139004565</v>
      </c>
      <c r="H82" s="22">
        <f t="shared" si="8"/>
        <v>10.302971327229463</v>
      </c>
    </row>
    <row r="83" spans="1:8" ht="12.75">
      <c r="A83" s="23">
        <f t="shared" si="4"/>
        <v>159.99999999999977</v>
      </c>
      <c r="B83" s="21">
        <f t="shared" si="5"/>
        <v>0.06746410759020975</v>
      </c>
      <c r="C83" s="21">
        <f t="shared" si="9"/>
        <v>10.499956316220896</v>
      </c>
      <c r="D83" s="21">
        <f t="shared" si="9"/>
        <v>0.024619260041664114</v>
      </c>
      <c r="E83" s="21">
        <f t="shared" si="9"/>
        <v>0.42260689144951646</v>
      </c>
      <c r="F83" s="21">
        <f t="shared" si="9"/>
        <v>4.438498056483587E-05</v>
      </c>
      <c r="G83" s="22">
        <f t="shared" si="7"/>
        <v>9.809049734228923</v>
      </c>
      <c r="H83" s="22">
        <f t="shared" si="8"/>
        <v>9.807360668038992</v>
      </c>
    </row>
    <row r="84" spans="1:8" ht="12.75">
      <c r="A84" s="23">
        <f t="shared" si="4"/>
        <v>171.48375400580665</v>
      </c>
      <c r="B84" s="21">
        <f t="shared" si="5"/>
        <v>0.05878974139522107</v>
      </c>
      <c r="C84" s="21">
        <f t="shared" si="9"/>
        <v>11.051619123942753</v>
      </c>
      <c r="D84" s="21">
        <f t="shared" si="9"/>
        <v>0.028268213446960684</v>
      </c>
      <c r="E84" s="21">
        <f t="shared" si="9"/>
        <v>0.48207810141432195</v>
      </c>
      <c r="F84" s="21">
        <f t="shared" si="9"/>
        <v>5.0984915420099E-05</v>
      </c>
      <c r="G84" s="22">
        <f t="shared" si="7"/>
        <v>9.313209183066574</v>
      </c>
      <c r="H84" s="22">
        <f t="shared" si="8"/>
        <v>9.3115267168115</v>
      </c>
    </row>
    <row r="85" spans="1:8" ht="12.75">
      <c r="A85" s="23">
        <f t="shared" si="4"/>
        <v>183.79173679952532</v>
      </c>
      <c r="B85" s="21">
        <f t="shared" si="5"/>
        <v>0.051224134548303754</v>
      </c>
      <c r="C85" s="21">
        <f t="shared" si="9"/>
        <v>11.609324542027192</v>
      </c>
      <c r="D85" s="21">
        <f t="shared" si="9"/>
        <v>0.03245598012421638</v>
      </c>
      <c r="E85" s="21">
        <f t="shared" si="9"/>
        <v>0.549402431600545</v>
      </c>
      <c r="F85" s="21">
        <f t="shared" si="9"/>
        <v>5.856623735434412E-05</v>
      </c>
      <c r="G85" s="22">
        <f t="shared" si="7"/>
        <v>8.818640328491101</v>
      </c>
      <c r="H85" s="22">
        <f t="shared" si="8"/>
        <v>8.816965443557962</v>
      </c>
    </row>
    <row r="86" spans="1:8" ht="12.75">
      <c r="A86" s="23">
        <f t="shared" si="4"/>
        <v>196.9831061351863</v>
      </c>
      <c r="B86" s="21">
        <f t="shared" si="5"/>
        <v>0.04462714322302924</v>
      </c>
      <c r="C86" s="21">
        <f t="shared" si="9"/>
        <v>12.172399328185055</v>
      </c>
      <c r="D86" s="21">
        <f t="shared" si="9"/>
        <v>0.03726148262031532</v>
      </c>
      <c r="E86" s="21">
        <f t="shared" si="9"/>
        <v>0.6254713385011637</v>
      </c>
      <c r="F86" s="21">
        <f t="shared" si="9"/>
        <v>6.727487305623937E-05</v>
      </c>
      <c r="G86" s="22">
        <f t="shared" si="7"/>
        <v>8.32682894673776</v>
      </c>
      <c r="H86" s="22">
        <f t="shared" si="8"/>
        <v>8.32516277044032</v>
      </c>
    </row>
    <row r="87" spans="1:8" ht="12.75">
      <c r="A87" s="23">
        <f t="shared" si="4"/>
        <v>211.12126572366273</v>
      </c>
      <c r="B87" s="21">
        <f t="shared" si="5"/>
        <v>0.03887595829177812</v>
      </c>
      <c r="C87" s="21">
        <f t="shared" si="9"/>
        <v>12.740233432373028</v>
      </c>
      <c r="D87" s="21">
        <f t="shared" si="9"/>
        <v>0.04277500127388677</v>
      </c>
      <c r="E87" s="21">
        <f t="shared" si="9"/>
        <v>0.7112382708752325</v>
      </c>
      <c r="F87" s="21">
        <f t="shared" si="9"/>
        <v>7.72784470096435E-05</v>
      </c>
      <c r="G87" s="22">
        <f t="shared" si="7"/>
        <v>7.8392482562702845</v>
      </c>
      <c r="H87" s="22">
        <f t="shared" si="8"/>
        <v>7.837592083546799</v>
      </c>
    </row>
    <row r="88" spans="1:8" ht="12.75">
      <c r="A88" s="23">
        <f t="shared" si="4"/>
        <v>226.27416997969482</v>
      </c>
      <c r="B88" s="21">
        <f t="shared" si="5"/>
        <v>0.03386305246768397</v>
      </c>
      <c r="C88" s="21">
        <f t="shared" si="9"/>
        <v>13.312276851393147</v>
      </c>
      <c r="D88" s="21">
        <f t="shared" si="9"/>
        <v>0.049099744885323496</v>
      </c>
      <c r="E88" s="21">
        <f t="shared" si="9"/>
        <v>0.8077126381575925</v>
      </c>
      <c r="F88" s="21">
        <f t="shared" si="9"/>
        <v>8.876950751894254E-05</v>
      </c>
      <c r="G88" s="22">
        <f t="shared" si="7"/>
        <v>7.357354460921089</v>
      </c>
      <c r="H88" s="22">
        <f t="shared" si="8"/>
        <v>7.355709779258113</v>
      </c>
    </row>
    <row r="89" spans="1:8" ht="12.75">
      <c r="A89" s="23">
        <f t="shared" si="4"/>
        <v>242.51465064166328</v>
      </c>
      <c r="B89" s="21">
        <f t="shared" si="5"/>
        <v>0.029494348340329078</v>
      </c>
      <c r="C89" s="21">
        <f t="shared" si="9"/>
        <v>13.888035908556917</v>
      </c>
      <c r="D89" s="21">
        <f t="shared" si="9"/>
        <v>0.05635361844454117</v>
      </c>
      <c r="E89" s="21">
        <f t="shared" si="9"/>
        <v>0.9159506998156901</v>
      </c>
      <c r="F89" s="21">
        <f t="shared" si="9"/>
        <v>0.00010196923230003592</v>
      </c>
      <c r="G89" s="22">
        <f t="shared" si="7"/>
        <v>6.882579591856198</v>
      </c>
      <c r="H89" s="22">
        <f t="shared" si="8"/>
        <v>6.880948109918004</v>
      </c>
    </row>
    <row r="90" spans="1:8" ht="12.75">
      <c r="A90" s="23">
        <f t="shared" si="4"/>
        <v>259.9207668339949</v>
      </c>
      <c r="B90" s="21">
        <f t="shared" si="5"/>
        <v>0.025687589093448832</v>
      </c>
      <c r="C90" s="21">
        <f t="shared" si="9"/>
        <v>14.46706919941535</v>
      </c>
      <c r="D90" s="21">
        <f t="shared" si="9"/>
        <v>0.06467120619540875</v>
      </c>
      <c r="E90" s="21">
        <f t="shared" si="9"/>
        <v>1.0370430358257068</v>
      </c>
      <c r="F90" s="21">
        <f t="shared" si="9"/>
        <v>0.00011713168493169438</v>
      </c>
      <c r="G90" s="22">
        <f t="shared" si="7"/>
        <v>6.416321049256915</v>
      </c>
      <c r="H90" s="22">
        <f t="shared" si="8"/>
        <v>6.414704729771351</v>
      </c>
    </row>
    <row r="91" spans="1:8" ht="12.75">
      <c r="A91" s="23">
        <f t="shared" si="4"/>
        <v>278.5761802547592</v>
      </c>
      <c r="B91" s="21">
        <f t="shared" si="5"/>
        <v>0.022370893694600838</v>
      </c>
      <c r="C91" s="21">
        <f t="shared" si="9"/>
        <v>15.04898339358836</v>
      </c>
      <c r="D91" s="21">
        <f t="shared" si="9"/>
        <v>0.07420598782809446</v>
      </c>
      <c r="E91" s="21">
        <f t="shared" si="9"/>
        <v>1.1720984005335118</v>
      </c>
      <c r="F91" s="21">
        <f t="shared" si="9"/>
        <v>0.00013454870399966695</v>
      </c>
      <c r="G91" s="22">
        <f t="shared" si="7"/>
        <v>5.959927438159024</v>
      </c>
      <c r="H91" s="22">
        <f t="shared" si="8"/>
        <v>5.958328535692528</v>
      </c>
    </row>
    <row r="92" spans="1:8" ht="12.75">
      <c r="A92" s="23">
        <f t="shared" si="4"/>
        <v>298.5705572917778</v>
      </c>
      <c r="B92" s="21">
        <f t="shared" si="5"/>
        <v>0.019481478866417268</v>
      </c>
      <c r="C92" s="21">
        <f t="shared" si="9"/>
        <v>15.63342903755278</v>
      </c>
      <c r="D92" s="21">
        <f t="shared" si="9"/>
        <v>0.08513280415998312</v>
      </c>
      <c r="E92" s="21">
        <f t="shared" si="9"/>
        <v>1.322223970486793</v>
      </c>
      <c r="F92" s="21">
        <f t="shared" si="9"/>
        <v>0.00015455551895048687</v>
      </c>
      <c r="G92" s="22">
        <f t="shared" si="7"/>
        <v>5.5146805478159955</v>
      </c>
      <c r="H92" s="22">
        <f t="shared" si="8"/>
        <v>5.513101652164451</v>
      </c>
    </row>
    <row r="93" spans="1:8" ht="12.75">
      <c r="A93" s="23">
        <f t="shared" si="4"/>
        <v>319.9999999999994</v>
      </c>
      <c r="B93" s="21">
        <f t="shared" si="5"/>
        <v>0.0169645310112847</v>
      </c>
      <c r="C93" s="21">
        <f t="shared" si="9"/>
        <v>16.220096464689554</v>
      </c>
      <c r="D93" s="21">
        <f t="shared" si="9"/>
        <v>0.09765058594687046</v>
      </c>
      <c r="E93" s="21">
        <f t="shared" si="9"/>
        <v>1.4885022689515484</v>
      </c>
      <c r="F93" s="21">
        <f t="shared" si="9"/>
        <v>0.0001775372006310902</v>
      </c>
      <c r="G93" s="22">
        <f t="shared" si="7"/>
        <v>5.081773637357088</v>
      </c>
      <c r="H93" s="22">
        <f t="shared" si="8"/>
        <v>5.080217723387225</v>
      </c>
    </row>
    <row r="94" spans="1:8" ht="12.75">
      <c r="A94" s="23">
        <f t="shared" si="4"/>
        <v>342.9675080116131</v>
      </c>
      <c r="B94" s="21">
        <f t="shared" si="5"/>
        <v>0.014772212334028837</v>
      </c>
      <c r="C94" s="21">
        <f t="shared" si="9"/>
        <v>16.80871188700352</v>
      </c>
      <c r="D94" s="21">
        <f t="shared" si="9"/>
        <v>0.11198535502948975</v>
      </c>
      <c r="E94" s="21">
        <f t="shared" si="9"/>
        <v>1.671965371935813</v>
      </c>
      <c r="F94" s="21">
        <f t="shared" si="9"/>
        <v>0.0002039360704908137</v>
      </c>
      <c r="G94" s="22">
        <f t="shared" si="7"/>
        <v>4.6622865489447705</v>
      </c>
      <c r="H94" s="22">
        <f t="shared" si="8"/>
        <v>4.660757033844767</v>
      </c>
    </row>
    <row r="95" spans="1:8" ht="12.75">
      <c r="A95" s="23">
        <f t="shared" si="4"/>
        <v>367.5834735990504</v>
      </c>
      <c r="B95" s="21">
        <f t="shared" si="5"/>
        <v>0.012862786592993366</v>
      </c>
      <c r="C95" s="21">
        <f t="shared" si="9"/>
        <v>17.399033717292706</v>
      </c>
      <c r="D95" s="21">
        <f t="shared" si="9"/>
        <v>0.12839350034384867</v>
      </c>
      <c r="E95" s="21">
        <f t="shared" si="9"/>
        <v>1.8735673453781292</v>
      </c>
      <c r="F95" s="21">
        <f t="shared" si="9"/>
        <v>0.0002342602108406137</v>
      </c>
      <c r="G95" s="22">
        <f t="shared" si="7"/>
        <v>4.25715854678354</v>
      </c>
      <c r="H95" s="22">
        <f t="shared" si="8"/>
        <v>4.2556593558238855</v>
      </c>
    </row>
    <row r="96" spans="1:8" ht="12.75">
      <c r="A96" s="23">
        <f t="shared" si="4"/>
        <v>393.96621227037235</v>
      </c>
      <c r="B96" s="21">
        <f t="shared" si="5"/>
        <v>0.011199851138405754</v>
      </c>
      <c r="C96" s="21">
        <f t="shared" si="9"/>
        <v>17.990849150475057</v>
      </c>
      <c r="D96" s="21">
        <f t="shared" si="9"/>
        <v>0.14716532178868116</v>
      </c>
      <c r="E96" s="21">
        <f t="shared" si="9"/>
        <v>2.0941561904181367</v>
      </c>
      <c r="F96" s="21">
        <f t="shared" si="9"/>
        <v>0.000269093239677225</v>
      </c>
      <c r="G96" s="22">
        <f t="shared" si="7"/>
        <v>3.8671601371963646</v>
      </c>
      <c r="H96" s="22">
        <f t="shared" si="8"/>
        <v>3.865695779265547</v>
      </c>
    </row>
    <row r="97" spans="1:8" ht="12.75">
      <c r="A97" s="23">
        <f t="shared" si="4"/>
        <v>422.24253144732523</v>
      </c>
      <c r="B97" s="21">
        <f t="shared" si="5"/>
        <v>0.009751663118531387</v>
      </c>
      <c r="C97" s="21">
        <f t="shared" si="9"/>
        <v>18.58397101748664</v>
      </c>
      <c r="D97" s="21">
        <f t="shared" si="9"/>
        <v>0.16862882183935032</v>
      </c>
      <c r="E97" s="21">
        <f t="shared" si="9"/>
        <v>2.3344468338511137</v>
      </c>
      <c r="F97" s="21">
        <f t="shared" si="9"/>
        <v>0.0003091055378176506</v>
      </c>
      <c r="G97" s="22">
        <f t="shared" si="7"/>
        <v>3.492865413567092</v>
      </c>
      <c r="H97" s="22">
        <f t="shared" si="8"/>
        <v>3.4914410679344137</v>
      </c>
    </row>
    <row r="98" spans="1:8" ht="12.75">
      <c r="A98" s="23">
        <f t="shared" si="4"/>
        <v>452.5483399593894</v>
      </c>
      <c r="B98" s="21">
        <f t="shared" si="5"/>
        <v>0.008490548915328498</v>
      </c>
      <c r="C98" s="21">
        <f t="shared" si="9"/>
        <v>19.178234913844584</v>
      </c>
      <c r="D98" s="21">
        <f t="shared" si="9"/>
        <v>0.19315370734426401</v>
      </c>
      <c r="E98" s="21">
        <f t="shared" si="9"/>
        <v>2.594996842864783</v>
      </c>
      <c r="F98" s="21">
        <f t="shared" si="9"/>
        <v>0.0003550671439355322</v>
      </c>
      <c r="G98" s="22">
        <f t="shared" si="7"/>
        <v>3.134626640717901</v>
      </c>
      <c r="H98" s="22">
        <f t="shared" si="8"/>
        <v>3.133248256691342</v>
      </c>
    </row>
    <row r="99" spans="1:8" ht="12.75">
      <c r="A99" s="23">
        <f t="shared" si="4"/>
        <v>485.0293012833263</v>
      </c>
      <c r="B99" s="21">
        <f t="shared" si="5"/>
        <v>0.007392386990313412</v>
      </c>
      <c r="C99" s="21">
        <f t="shared" si="9"/>
        <v>19.773496596869343</v>
      </c>
      <c r="D99" s="21">
        <f t="shared" si="9"/>
        <v>0.22115554133012594</v>
      </c>
      <c r="E99" s="21">
        <f t="shared" si="9"/>
        <v>2.8761865246905622</v>
      </c>
      <c r="F99" s="21">
        <f t="shared" si="9"/>
        <v>0.00040786256499811876</v>
      </c>
      <c r="G99" s="22">
        <f t="shared" si="7"/>
        <v>2.7925528055330595</v>
      </c>
      <c r="H99" s="22">
        <f t="shared" si="8"/>
        <v>2.791227216927563</v>
      </c>
    </row>
    <row r="100" spans="1:8" ht="12.75">
      <c r="A100" s="23">
        <f aca="true" t="shared" si="10" ref="A100:A163">A99*(2^0.1)</f>
        <v>519.8415336679896</v>
      </c>
      <c r="B100" s="21">
        <f t="shared" si="5"/>
        <v>0.006436155365362347</v>
      </c>
      <c r="C100" s="21">
        <f t="shared" si="9"/>
        <v>20.369629640015884</v>
      </c>
      <c r="D100" s="21">
        <f t="shared" si="9"/>
        <v>0.2530999561200766</v>
      </c>
      <c r="E100" s="21">
        <f t="shared" si="9"/>
        <v>3.1782048705133596</v>
      </c>
      <c r="F100" s="21">
        <f t="shared" si="9"/>
        <v>0.00046850778627264606</v>
      </c>
      <c r="G100" s="22">
        <f t="shared" si="7"/>
        <v>2.4664936934193626</v>
      </c>
      <c r="H100" s="22">
        <f t="shared" si="8"/>
        <v>2.4652287500351413</v>
      </c>
    </row>
    <row r="101" spans="1:8" ht="12.75">
      <c r="A101" s="23">
        <f t="shared" si="10"/>
        <v>557.1523605095182</v>
      </c>
      <c r="B101" s="21">
        <f t="shared" si="5"/>
        <v>0.0056035359256537826</v>
      </c>
      <c r="C101" s="21">
        <f t="shared" si="9"/>
        <v>20.9665233291991</v>
      </c>
      <c r="D101" s="21">
        <f t="shared" si="9"/>
        <v>0.2895068040523439</v>
      </c>
      <c r="E101" s="21">
        <f t="shared" si="9"/>
        <v>3.501042424962489</v>
      </c>
      <c r="F101" s="21">
        <f t="shared" si="9"/>
        <v>0.000538169807099036</v>
      </c>
      <c r="G101" s="22">
        <f t="shared" si="7"/>
        <v>2.1560307107530114</v>
      </c>
      <c r="H101" s="22">
        <f t="shared" si="8"/>
        <v>2.1548354293896175</v>
      </c>
    </row>
    <row r="102" spans="1:8" ht="12.75">
      <c r="A102" s="23">
        <f t="shared" si="10"/>
        <v>597.1411145835553</v>
      </c>
      <c r="B102" s="21">
        <f t="shared" si="5"/>
        <v>0.004878568610896151</v>
      </c>
      <c r="C102" s="21">
        <f t="shared" si="9"/>
        <v>21.564080783938095</v>
      </c>
      <c r="D102" s="21">
        <f t="shared" si="9"/>
        <v>0.33095408035014007</v>
      </c>
      <c r="E102" s="21">
        <f t="shared" si="9"/>
        <v>3.844491645150241</v>
      </c>
      <c r="F102" s="21">
        <f t="shared" si="9"/>
        <v>0.0006181890768677391</v>
      </c>
      <c r="G102" s="22">
        <f t="shared" si="7"/>
        <v>1.8604751999039735</v>
      </c>
      <c r="H102" s="22">
        <f t="shared" si="8"/>
        <v>1.8593599378103463</v>
      </c>
    </row>
    <row r="103" spans="1:8" ht="12.75">
      <c r="A103" s="23">
        <f t="shared" si="10"/>
        <v>639.9999999999985</v>
      </c>
      <c r="B103" s="21">
        <f t="shared" si="5"/>
        <v>0.004247349357657909</v>
      </c>
      <c r="C103" s="21">
        <f t="shared" si="9"/>
        <v>22.162217285197798</v>
      </c>
      <c r="D103" s="21">
        <f t="shared" si="9"/>
        <v>0.3780814046147476</v>
      </c>
      <c r="E103" s="21">
        <f t="shared" si="9"/>
        <v>4.208154720617166</v>
      </c>
      <c r="F103" s="21">
        <f t="shared" si="9"/>
        <v>0.0007101052609376091</v>
      </c>
      <c r="G103" s="22">
        <f t="shared" si="7"/>
        <v>1.5788744498465874</v>
      </c>
      <c r="H103" s="22">
        <f t="shared" si="8"/>
        <v>1.5778511039370287</v>
      </c>
    </row>
    <row r="104" spans="1:8" ht="12.75">
      <c r="A104" s="23">
        <f t="shared" si="10"/>
        <v>685.935016023226</v>
      </c>
      <c r="B104" s="21">
        <f t="shared" si="5"/>
        <v>0.003697766373154175</v>
      </c>
      <c r="C104" s="21">
        <f t="shared" si="9"/>
        <v>22.760858791666113</v>
      </c>
      <c r="D104" s="21">
        <f t="shared" si="9"/>
        <v>0.43159279429584163</v>
      </c>
      <c r="E104" s="21">
        <f t="shared" si="9"/>
        <v>4.591458236798169</v>
      </c>
      <c r="F104" s="21">
        <f t="shared" si="9"/>
        <v>0.0008156868296600555</v>
      </c>
      <c r="G104" s="22">
        <f t="shared" si="7"/>
        <v>1.3100250698781792</v>
      </c>
      <c r="H104" s="22">
        <f t="shared" si="8"/>
        <v>1.3091073055373457</v>
      </c>
    </row>
    <row r="105" spans="1:8" ht="12.75">
      <c r="A105" s="23">
        <f t="shared" si="10"/>
        <v>735.1669471981006</v>
      </c>
      <c r="B105" s="21">
        <f aca="true" t="shared" si="11" ref="B105:B168">10*LOG10(1+1/(4*PI()*PI()*B$31*B$31*$A105*$A105))</f>
        <v>0.0032192699638935525</v>
      </c>
      <c r="C105" s="21">
        <f aca="true" t="shared" si="12" ref="C105:F136">10*LOG10(1+(4*PI()*PI()*C$31*C$31*$A105*$A105))</f>
        <v>23.35994062662769</v>
      </c>
      <c r="D105" s="21">
        <f t="shared" si="12"/>
        <v>0.49225840794258724</v>
      </c>
      <c r="E105" s="21">
        <f t="shared" si="12"/>
        <v>4.9936735580735006</v>
      </c>
      <c r="F105" s="21">
        <f t="shared" si="12"/>
        <v>0.0009369650363587736</v>
      </c>
      <c r="G105" s="22">
        <f aca="true" t="shared" si="13" ref="G105:G168">E105-C105-D105-G$29</f>
        <v>1.0524929425451894</v>
      </c>
      <c r="H105" s="22">
        <f aca="true" t="shared" si="14" ref="H105:H168">E105+F105-C105-D105-H$29</f>
        <v>1.0516964564110545</v>
      </c>
    </row>
    <row r="106" spans="1:8" ht="12.75">
      <c r="A106" s="23">
        <f t="shared" si="10"/>
        <v>787.9324245407445</v>
      </c>
      <c r="B106" s="21">
        <f t="shared" si="11"/>
        <v>0.0028026717163287538</v>
      </c>
      <c r="C106" s="21">
        <f t="shared" si="12"/>
        <v>23.95940631839497</v>
      </c>
      <c r="D106" s="21">
        <f t="shared" si="12"/>
        <v>0.5609148823675661</v>
      </c>
      <c r="E106" s="21">
        <f t="shared" si="12"/>
        <v>5.413941444072453</v>
      </c>
      <c r="F106" s="21">
        <f t="shared" si="12"/>
        <v>0.0010762729334382816</v>
      </c>
      <c r="G106" s="22">
        <f t="shared" si="13"/>
        <v>0.8046386623518842</v>
      </c>
      <c r="H106" s="22">
        <f t="shared" si="14"/>
        <v>0.8039814841148285</v>
      </c>
    </row>
    <row r="107" spans="1:8" ht="12.75">
      <c r="A107" s="23">
        <f t="shared" si="10"/>
        <v>844.4850628946502</v>
      </c>
      <c r="B107" s="21">
        <f t="shared" si="11"/>
        <v>0.002439969336902296</v>
      </c>
      <c r="C107" s="21">
        <f t="shared" si="12"/>
        <v>24.5592065782932</v>
      </c>
      <c r="D107" s="21">
        <f t="shared" si="12"/>
        <v>0.6384638424334345</v>
      </c>
      <c r="E107" s="21">
        <f t="shared" si="12"/>
        <v>5.851299229163115</v>
      </c>
      <c r="F107" s="21">
        <f t="shared" si="12"/>
        <v>0.0012362901711877685</v>
      </c>
      <c r="G107" s="22">
        <f t="shared" si="13"/>
        <v>0.5646472274784458</v>
      </c>
      <c r="H107" s="22">
        <f t="shared" si="14"/>
        <v>0.5641500664791401</v>
      </c>
    </row>
    <row r="108" spans="1:8" ht="12.75">
      <c r="A108" s="23">
        <f t="shared" si="10"/>
        <v>905.0966799187786</v>
      </c>
      <c r="B108" s="21">
        <f t="shared" si="11"/>
        <v>0.002124193911071765</v>
      </c>
      <c r="C108" s="21">
        <f t="shared" si="12"/>
        <v>25.159298401364257</v>
      </c>
      <c r="D108" s="21">
        <f t="shared" si="12"/>
        <v>0.7258681336147143</v>
      </c>
      <c r="E108" s="21">
        <f t="shared" si="12"/>
        <v>6.30470889315045</v>
      </c>
      <c r="F108" s="21">
        <f t="shared" si="12"/>
        <v>0.0014200944331233868</v>
      </c>
      <c r="G108" s="22">
        <f t="shared" si="13"/>
        <v>0.3305607772134458</v>
      </c>
      <c r="H108" s="22">
        <f t="shared" si="14"/>
        <v>0.33024742047607347</v>
      </c>
    </row>
    <row r="109" spans="1:8" ht="12.75">
      <c r="A109" s="23">
        <f t="shared" si="10"/>
        <v>970.0586025666523</v>
      </c>
      <c r="B109" s="21">
        <f t="shared" si="11"/>
        <v>0.001849276740845099</v>
      </c>
      <c r="C109" s="21">
        <f t="shared" si="12"/>
        <v>25.759644276177653</v>
      </c>
      <c r="D109" s="21">
        <f t="shared" si="12"/>
        <v>0.8241453265102966</v>
      </c>
      <c r="E109" s="21">
        <f t="shared" si="12"/>
        <v>6.773084506439105</v>
      </c>
      <c r="F109" s="21">
        <f t="shared" si="12"/>
        <v>0.0016312204867395472</v>
      </c>
      <c r="G109" s="22">
        <f t="shared" si="13"/>
        <v>0.10031332279312011</v>
      </c>
      <c r="H109" s="22">
        <f t="shared" si="14"/>
        <v>0.1002110921093653</v>
      </c>
    </row>
    <row r="110" spans="1:8" ht="12.75">
      <c r="A110" s="23">
        <f t="shared" si="10"/>
        <v>1039.6830673359789</v>
      </c>
      <c r="B110" s="21">
        <f t="shared" si="11"/>
        <v>0.0016099332731781585</v>
      </c>
      <c r="C110" s="21">
        <f t="shared" si="12"/>
        <v>26.360211491364048</v>
      </c>
      <c r="D110" s="21">
        <f t="shared" si="12"/>
        <v>0.9343580812256874</v>
      </c>
      <c r="E110" s="21">
        <f t="shared" si="12"/>
        <v>7.255317801697419</v>
      </c>
      <c r="F110" s="21">
        <f t="shared" si="12"/>
        <v>0.0018737279715724418</v>
      </c>
      <c r="G110" s="22">
        <f t="shared" si="13"/>
        <v>-0.12823335185035134</v>
      </c>
      <c r="H110" s="22">
        <f t="shared" si="14"/>
        <v>-0.12809307504927148</v>
      </c>
    </row>
    <row r="111" spans="1:8" ht="12.75">
      <c r="A111" s="23">
        <f t="shared" si="10"/>
        <v>1114.3047210190362</v>
      </c>
      <c r="B111" s="21">
        <f t="shared" si="11"/>
        <v>0.001401561942334329</v>
      </c>
      <c r="C111" s="21">
        <f t="shared" si="12"/>
        <v>26.96097152767863</v>
      </c>
      <c r="D111" s="21">
        <f t="shared" si="12"/>
        <v>1.0576010501671709</v>
      </c>
      <c r="E111" s="21">
        <f t="shared" si="12"/>
        <v>7.750300955009287</v>
      </c>
      <c r="F111" s="21">
        <f t="shared" si="12"/>
        <v>0.0021522792099224067</v>
      </c>
      <c r="G111" s="22">
        <f t="shared" si="13"/>
        <v>-0.3572532037945493</v>
      </c>
      <c r="H111" s="22">
        <f t="shared" si="14"/>
        <v>-0.35683437575512045</v>
      </c>
    </row>
    <row r="112" spans="1:8" ht="12.75">
      <c r="A112" s="23">
        <f t="shared" si="10"/>
        <v>1194.2822291671105</v>
      </c>
      <c r="B112" s="21">
        <f t="shared" si="11"/>
        <v>0.001220156022524674</v>
      </c>
      <c r="C112" s="21">
        <f t="shared" si="12"/>
        <v>27.561899525535726</v>
      </c>
      <c r="D112" s="21">
        <f t="shared" si="12"/>
        <v>1.1949841502222733</v>
      </c>
      <c r="E112" s="21">
        <f t="shared" si="12"/>
        <v>8.256946003722598</v>
      </c>
      <c r="F112" s="21">
        <f t="shared" si="12"/>
        <v>0.002472228512339157</v>
      </c>
      <c r="G112" s="22">
        <f t="shared" si="13"/>
        <v>-0.5889192529934313</v>
      </c>
      <c r="H112" s="22">
        <f t="shared" si="14"/>
        <v>-0.5881804756515869</v>
      </c>
    </row>
    <row r="113" spans="1:8" ht="12.75">
      <c r="A113" s="23">
        <f t="shared" si="10"/>
        <v>1279.9999999999968</v>
      </c>
      <c r="B113" s="21">
        <f t="shared" si="11"/>
        <v>0.0010622268270842102</v>
      </c>
      <c r="C113" s="21">
        <f t="shared" si="12"/>
        <v>28.162973819017346</v>
      </c>
      <c r="D113" s="21">
        <f t="shared" si="12"/>
        <v>1.347612254211801</v>
      </c>
      <c r="E113" s="21">
        <f t="shared" si="12"/>
        <v>8.774200646528262</v>
      </c>
      <c r="F113" s="21">
        <f t="shared" si="12"/>
        <v>0.0028397246630176938</v>
      </c>
      <c r="G113" s="22">
        <f t="shared" si="13"/>
        <v>-0.8253670076589152</v>
      </c>
      <c r="H113" s="22">
        <f t="shared" si="14"/>
        <v>-0.8242607341663941</v>
      </c>
    </row>
    <row r="114" spans="1:8" ht="12.75">
      <c r="A114" s="23">
        <f t="shared" si="10"/>
        <v>1371.8700320464518</v>
      </c>
      <c r="B114" s="21">
        <f t="shared" si="11"/>
        <v>0.0009247368008822058</v>
      </c>
      <c r="C114" s="21">
        <f t="shared" si="12"/>
        <v>28.764175528338978</v>
      </c>
      <c r="D114" s="21">
        <f t="shared" si="12"/>
        <v>1.5165616328495442</v>
      </c>
      <c r="E114" s="21">
        <f t="shared" si="12"/>
        <v>9.301060437777233</v>
      </c>
      <c r="F114" s="21">
        <f t="shared" si="12"/>
        <v>0.0032618285131875914</v>
      </c>
      <c r="G114" s="22">
        <f t="shared" si="13"/>
        <v>-1.0686583043693219</v>
      </c>
      <c r="H114" s="22">
        <f t="shared" si="14"/>
        <v>-1.067129927026631</v>
      </c>
    </row>
    <row r="115" spans="1:8" ht="12.75">
      <c r="A115" s="23">
        <f t="shared" si="10"/>
        <v>1470.333894396201</v>
      </c>
      <c r="B115" s="21">
        <f t="shared" si="11"/>
        <v>0.0008050412370398461</v>
      </c>
      <c r="C115" s="21">
        <f t="shared" si="12"/>
        <v>29.365488203652994</v>
      </c>
      <c r="D115" s="21">
        <f t="shared" si="12"/>
        <v>1.7028538063606844</v>
      </c>
      <c r="E115" s="21">
        <f t="shared" si="12"/>
        <v>9.836577590037448</v>
      </c>
      <c r="F115" s="21">
        <f t="shared" si="12"/>
        <v>0.0037466478871747933</v>
      </c>
      <c r="G115" s="22">
        <f t="shared" si="13"/>
        <v>-1.320746000934264</v>
      </c>
      <c r="H115" s="22">
        <f t="shared" si="14"/>
        <v>-1.3187328042175857</v>
      </c>
    </row>
    <row r="116" spans="1:8" ht="12.75">
      <c r="A116" s="23">
        <f t="shared" si="10"/>
        <v>1575.8648490814887</v>
      </c>
      <c r="B116" s="21">
        <f t="shared" si="11"/>
        <v>0.0007008375104500784</v>
      </c>
      <c r="C116" s="21">
        <f t="shared" si="12"/>
        <v>29.966897513884927</v>
      </c>
      <c r="D116" s="21">
        <f t="shared" si="12"/>
        <v>1.9074278099467288</v>
      </c>
      <c r="E116" s="21">
        <f t="shared" si="12"/>
        <v>10.37986673490796</v>
      </c>
      <c r="F116" s="21">
        <f t="shared" si="12"/>
        <v>0.004303492320333699</v>
      </c>
      <c r="G116" s="22">
        <f t="shared" si="13"/>
        <v>-1.5834401698817295</v>
      </c>
      <c r="H116" s="22">
        <f t="shared" si="14"/>
        <v>-1.5808701287318918</v>
      </c>
    </row>
    <row r="117" spans="1:8" ht="12.75">
      <c r="A117" s="23">
        <f t="shared" si="10"/>
        <v>1688.9701257893003</v>
      </c>
      <c r="B117" s="21">
        <f t="shared" si="11"/>
        <v>0.0006101208618158338</v>
      </c>
      <c r="C117" s="21">
        <f t="shared" si="12"/>
        <v>30.568390975032024</v>
      </c>
      <c r="D117" s="21">
        <f t="shared" si="12"/>
        <v>2.131112197321877</v>
      </c>
      <c r="E117" s="21">
        <f t="shared" si="12"/>
        <v>10.930108068470133</v>
      </c>
      <c r="F117" s="21">
        <f t="shared" si="12"/>
        <v>0.004943050505140369</v>
      </c>
      <c r="G117" s="22">
        <f t="shared" si="13"/>
        <v>-1.8583766848418009</v>
      </c>
      <c r="H117" s="22">
        <f t="shared" si="14"/>
        <v>-1.855167085507155</v>
      </c>
    </row>
    <row r="118" spans="1:8" ht="12.75">
      <c r="A118" s="23">
        <f t="shared" si="10"/>
        <v>1810.193359837557</v>
      </c>
      <c r="B118" s="21">
        <f t="shared" si="11"/>
        <v>0.0005311458893695572</v>
      </c>
      <c r="C118" s="21">
        <f t="shared" si="12"/>
        <v>31.169957713012625</v>
      </c>
      <c r="D118" s="21">
        <f t="shared" si="12"/>
        <v>2.3745983512253903</v>
      </c>
      <c r="E118" s="21">
        <f t="shared" si="12"/>
        <v>11.486548335221343</v>
      </c>
      <c r="F118" s="21">
        <f t="shared" si="12"/>
        <v>0.00567759372634617</v>
      </c>
      <c r="G118" s="22">
        <f t="shared" si="13"/>
        <v>-2.146989309974707</v>
      </c>
      <c r="H118" s="22">
        <f t="shared" si="14"/>
        <v>-2.1430451674188546</v>
      </c>
    </row>
    <row r="119" spans="1:8" ht="12.75">
      <c r="A119" s="23">
        <f t="shared" si="10"/>
        <v>1940.1172051333044</v>
      </c>
      <c r="B119" s="21">
        <f t="shared" si="11"/>
        <v>0.0004623930132955405</v>
      </c>
      <c r="C119" s="21">
        <f t="shared" si="12"/>
        <v>31.771588256743396</v>
      </c>
      <c r="D119" s="21">
        <f t="shared" si="12"/>
        <v>2.638416788683406</v>
      </c>
      <c r="E119" s="21">
        <f t="shared" si="12"/>
        <v>12.048500095238662</v>
      </c>
      <c r="F119" s="21">
        <f t="shared" si="12"/>
        <v>0.006521209023641804</v>
      </c>
      <c r="G119" s="22">
        <f t="shared" si="13"/>
        <v>-2.4504865311461757</v>
      </c>
      <c r="H119" s="22">
        <f t="shared" si="14"/>
        <v>-2.4456987732930244</v>
      </c>
    </row>
    <row r="120" spans="1:8" ht="12.75">
      <c r="A120" s="23">
        <f t="shared" si="10"/>
        <v>2079.3661346719573</v>
      </c>
      <c r="B120" s="21">
        <f t="shared" si="11"/>
        <v>0.0004025392720891791</v>
      </c>
      <c r="C120" s="21">
        <f t="shared" si="12"/>
        <v>32.37327435764501</v>
      </c>
      <c r="D120" s="21">
        <f t="shared" si="12"/>
        <v>2.9229181020340658</v>
      </c>
      <c r="E120" s="21">
        <f t="shared" si="12"/>
        <v>12.615339685537478</v>
      </c>
      <c r="F120" s="21">
        <f t="shared" si="12"/>
        <v>0.0074900663361963165</v>
      </c>
      <c r="G120" s="22">
        <f t="shared" si="13"/>
        <v>-2.7698343550996327</v>
      </c>
      <c r="H120" s="22">
        <f t="shared" si="14"/>
        <v>-2.7640777399339314</v>
      </c>
    </row>
    <row r="121" spans="1:8" ht="12.75">
      <c r="A121" s="23">
        <f t="shared" si="10"/>
        <v>2228.609442038072</v>
      </c>
      <c r="B121" s="21">
        <f t="shared" si="11"/>
        <v>0.00035043289232659095</v>
      </c>
      <c r="C121" s="21">
        <f t="shared" si="12"/>
        <v>32.97500883224141</v>
      </c>
      <c r="D121" s="21">
        <f t="shared" si="12"/>
        <v>3.2282599460575523</v>
      </c>
      <c r="E121" s="21">
        <f t="shared" si="12"/>
        <v>13.186504238344714</v>
      </c>
      <c r="F121" s="21">
        <f t="shared" si="12"/>
        <v>0.008602724463577665</v>
      </c>
      <c r="G121" s="22">
        <f t="shared" si="13"/>
        <v>-3.105746120912279</v>
      </c>
      <c r="H121" s="22">
        <f t="shared" si="14"/>
        <v>-3.0988768476191986</v>
      </c>
    </row>
    <row r="122" spans="1:8" ht="12.75">
      <c r="A122" s="23">
        <f t="shared" si="10"/>
        <v>2388.5644583342205</v>
      </c>
      <c r="B122" s="21">
        <f t="shared" si="11"/>
        <v>0.00030507114505123515</v>
      </c>
      <c r="C122" s="21">
        <f t="shared" si="12"/>
        <v>33.57678542492865</v>
      </c>
      <c r="D122" s="21">
        <f t="shared" si="12"/>
        <v>3.5544010780361517</v>
      </c>
      <c r="E122" s="21">
        <f t="shared" si="12"/>
        <v>13.761488064340082</v>
      </c>
      <c r="F122" s="21">
        <f t="shared" si="12"/>
        <v>0.00988048132742293</v>
      </c>
      <c r="G122" s="22">
        <f t="shared" si="13"/>
        <v>-3.4586800195827543</v>
      </c>
      <c r="H122" s="22">
        <f t="shared" si="14"/>
        <v>-3.450532989425824</v>
      </c>
    </row>
    <row r="123" spans="1:8" ht="12.75">
      <c r="A123" s="23">
        <f t="shared" si="10"/>
        <v>2559.999999999993</v>
      </c>
      <c r="B123" s="21">
        <f t="shared" si="11"/>
        <v>0.0002655810646347024</v>
      </c>
      <c r="C123" s="21">
        <f t="shared" si="12"/>
        <v>34.17859868835218</v>
      </c>
      <c r="D123" s="21">
        <f t="shared" si="12"/>
        <v>3.9011029233705563</v>
      </c>
      <c r="E123" s="21">
        <f t="shared" si="12"/>
        <v>14.339838653652354</v>
      </c>
      <c r="F123" s="21">
        <f t="shared" si="12"/>
        <v>0.011347774743093574</v>
      </c>
      <c r="G123" s="22">
        <f t="shared" si="13"/>
        <v>-3.8288445390284167</v>
      </c>
      <c r="H123" s="22">
        <f t="shared" si="14"/>
        <v>-3.8192302154558178</v>
      </c>
    </row>
    <row r="124" spans="1:8" ht="12.75">
      <c r="A124" s="23">
        <f t="shared" si="10"/>
        <v>2743.740064092903</v>
      </c>
      <c r="B124" s="21">
        <f t="shared" si="11"/>
        <v>0.00023120266051602096</v>
      </c>
      <c r="C124" s="21">
        <f t="shared" si="12"/>
        <v>34.780443879150745</v>
      </c>
      <c r="D124" s="21">
        <f t="shared" si="12"/>
        <v>4.267938541909023</v>
      </c>
      <c r="E124" s="21">
        <f t="shared" si="12"/>
        <v>14.921152495371828</v>
      </c>
      <c r="F124" s="21">
        <f t="shared" si="12"/>
        <v>0.013032640714888766</v>
      </c>
      <c r="G124" s="22">
        <f t="shared" si="13"/>
        <v>-4.216211506645976</v>
      </c>
      <c r="H124" s="22">
        <f t="shared" si="14"/>
        <v>-4.204912317101581</v>
      </c>
    </row>
    <row r="125" spans="1:8" ht="12.75">
      <c r="A125" s="23">
        <f t="shared" si="10"/>
        <v>2940.6677887924016</v>
      </c>
      <c r="B125" s="21">
        <f t="shared" si="11"/>
        <v>0.00020127429986974217</v>
      </c>
      <c r="C125" s="21">
        <f t="shared" si="12"/>
        <v>35.382316867106375</v>
      </c>
      <c r="D125" s="21">
        <f t="shared" si="12"/>
        <v>4.654308289504577</v>
      </c>
      <c r="E125" s="21">
        <f t="shared" si="12"/>
        <v>15.505070869792366</v>
      </c>
      <c r="F125" s="21">
        <f t="shared" si="12"/>
        <v>0.014967237155264644</v>
      </c>
      <c r="G125" s="22">
        <f t="shared" si="13"/>
        <v>-4.620535867776621</v>
      </c>
      <c r="H125" s="22">
        <f t="shared" si="14"/>
        <v>-4.60730208179185</v>
      </c>
    </row>
    <row r="126" spans="1:8" ht="12.75">
      <c r="A126" s="23">
        <f t="shared" si="10"/>
        <v>3151.729698162977</v>
      </c>
      <c r="B126" s="21">
        <f t="shared" si="11"/>
        <v>0.0001752199807233796</v>
      </c>
      <c r="C126" s="21">
        <f t="shared" si="12"/>
        <v>35.98421405598682</v>
      </c>
      <c r="D126" s="21">
        <f t="shared" si="12"/>
        <v>5.059460982198854</v>
      </c>
      <c r="E126" s="21">
        <f t="shared" si="12"/>
        <v>16.091275727560504</v>
      </c>
      <c r="F126" s="21">
        <f t="shared" si="12"/>
        <v>0.017188441898837302</v>
      </c>
      <c r="G126" s="22">
        <f t="shared" si="13"/>
        <v>-5.041380891583202</v>
      </c>
      <c r="H126" s="22">
        <f t="shared" si="14"/>
        <v>-5.025925900854858</v>
      </c>
    </row>
    <row r="127" spans="1:8" ht="12.75">
      <c r="A127" s="23">
        <f t="shared" si="10"/>
        <v>3377.9402515786</v>
      </c>
      <c r="B127" s="21">
        <f t="shared" si="11"/>
        <v>0.00015253825125008201</v>
      </c>
      <c r="C127" s="21">
        <f t="shared" si="12"/>
        <v>36.586132314583196</v>
      </c>
      <c r="D127" s="21">
        <f t="shared" si="12"/>
        <v>5.482519034999993</v>
      </c>
      <c r="E127" s="21">
        <f t="shared" si="12"/>
        <v>16.67948573658223</v>
      </c>
      <c r="F127" s="21">
        <f t="shared" si="12"/>
        <v>0.019738534933436885</v>
      </c>
      <c r="G127" s="22">
        <f t="shared" si="13"/>
        <v>-5.478147193958993</v>
      </c>
      <c r="H127" s="22">
        <f t="shared" si="14"/>
        <v>-5.460142110196049</v>
      </c>
    </row>
    <row r="128" spans="1:8" ht="12.75">
      <c r="A128" s="23">
        <f t="shared" si="10"/>
        <v>3620.3867196751135</v>
      </c>
      <c r="B128" s="21">
        <f t="shared" si="11"/>
        <v>0.0001327925624289696</v>
      </c>
      <c r="C128" s="21">
        <f t="shared" si="12"/>
        <v>37.18806891663565</v>
      </c>
      <c r="D128" s="21">
        <f t="shared" si="12"/>
        <v>5.922505893047658</v>
      </c>
      <c r="E128" s="21">
        <f t="shared" si="12"/>
        <v>17.269452550583104</v>
      </c>
      <c r="F128" s="21">
        <f t="shared" si="12"/>
        <v>0.022665975896050575</v>
      </c>
      <c r="G128" s="22">
        <f t="shared" si="13"/>
        <v>-5.930103840058237</v>
      </c>
      <c r="H128" s="22">
        <f t="shared" si="14"/>
        <v>-5.909171315332685</v>
      </c>
    </row>
    <row r="129" spans="1:8" ht="12.75">
      <c r="A129" s="23">
        <f t="shared" si="10"/>
        <v>3880.2344102666084</v>
      </c>
      <c r="B129" s="21">
        <f t="shared" si="11"/>
        <v>0.00011560286880757773</v>
      </c>
      <c r="C129" s="21">
        <f t="shared" si="12"/>
        <v>37.79002148850591</v>
      </c>
      <c r="D129" s="21">
        <f t="shared" si="12"/>
        <v>6.3783740983582575</v>
      </c>
      <c r="E129" s="21">
        <f t="shared" si="12"/>
        <v>17.86095733199336</v>
      </c>
      <c r="F129" s="21">
        <f t="shared" si="12"/>
        <v>0.02602628906761107</v>
      </c>
      <c r="G129" s="22">
        <f t="shared" si="13"/>
        <v>-6.396419835828837</v>
      </c>
      <c r="H129" s="22">
        <f t="shared" si="14"/>
        <v>-6.372126997931719</v>
      </c>
    </row>
    <row r="130" spans="1:8" ht="12.75">
      <c r="A130" s="23">
        <f t="shared" si="10"/>
        <v>4158.732269343915</v>
      </c>
      <c r="B130" s="21">
        <f t="shared" si="11"/>
        <v>0.00010063831594459263</v>
      </c>
      <c r="C130" s="21">
        <f t="shared" si="12"/>
        <v>38.39198796360112</v>
      </c>
      <c r="D130" s="21">
        <f t="shared" si="12"/>
        <v>6.849032511928515</v>
      </c>
      <c r="E130" s="21">
        <f t="shared" si="12"/>
        <v>18.453807545558192</v>
      </c>
      <c r="F130" s="21">
        <f t="shared" si="12"/>
        <v>0.029883069324522386</v>
      </c>
      <c r="G130" s="22">
        <f t="shared" si="13"/>
        <v>-6.876194510929473</v>
      </c>
      <c r="H130" s="22">
        <f t="shared" si="14"/>
        <v>-6.848044892775448</v>
      </c>
    </row>
    <row r="131" spans="1:8" ht="12.75">
      <c r="A131" s="23">
        <f t="shared" si="10"/>
        <v>4457.218884076144</v>
      </c>
      <c r="B131" s="21">
        <f t="shared" si="11"/>
        <v>8.761087403748243E-05</v>
      </c>
      <c r="C131" s="21">
        <f t="shared" si="12"/>
        <v>38.993966542680404</v>
      </c>
      <c r="D131" s="21">
        <f t="shared" si="12"/>
        <v>7.333371493150464</v>
      </c>
      <c r="E131" s="21">
        <f t="shared" si="12"/>
        <v>19.04783402694808</v>
      </c>
      <c r="F131" s="21">
        <f t="shared" si="12"/>
        <v>0.034309123731674995</v>
      </c>
      <c r="G131" s="22">
        <f t="shared" si="13"/>
        <v>-7.368485589840823</v>
      </c>
      <c r="H131" s="22">
        <f t="shared" si="14"/>
        <v>-7.335909917279643</v>
      </c>
    </row>
    <row r="132" spans="1:8" ht="12.75">
      <c r="A132" s="23">
        <f t="shared" si="10"/>
        <v>4777.128916668441</v>
      </c>
      <c r="B132" s="21">
        <f t="shared" si="11"/>
        <v>7.626979532907568E-05</v>
      </c>
      <c r="C132" s="21">
        <f t="shared" si="12"/>
        <v>39.59595565928681</v>
      </c>
      <c r="D132" s="21">
        <f t="shared" si="12"/>
        <v>7.8302851746467255</v>
      </c>
      <c r="E132" s="21">
        <f t="shared" si="12"/>
        <v>19.642888321899324</v>
      </c>
      <c r="F132" s="21">
        <f t="shared" si="12"/>
        <v>0.03938776464017628</v>
      </c>
      <c r="G132" s="22">
        <f t="shared" si="13"/>
        <v>-7.872334092992244</v>
      </c>
      <c r="H132" s="22">
        <f t="shared" si="14"/>
        <v>-7.834679779522563</v>
      </c>
    </row>
    <row r="133" spans="1:8" ht="12.75">
      <c r="A133" s="23">
        <f t="shared" si="10"/>
        <v>5119.999999999986</v>
      </c>
      <c r="B133" s="21">
        <f t="shared" si="11"/>
        <v>6.639678875790783E-05</v>
      </c>
      <c r="C133" s="21">
        <f t="shared" si="12"/>
        <v>40.19795394964423</v>
      </c>
      <c r="D133" s="21">
        <f t="shared" si="12"/>
        <v>8.338690313034046</v>
      </c>
      <c r="E133" s="21">
        <f t="shared" si="12"/>
        <v>20.238840285362144</v>
      </c>
      <c r="F133" s="21">
        <f t="shared" si="12"/>
        <v>0.04521427121050352</v>
      </c>
      <c r="G133" s="22">
        <f t="shared" si="13"/>
        <v>-8.386785558274166</v>
      </c>
      <c r="H133" s="22">
        <f t="shared" si="14"/>
        <v>-8.343304738234156</v>
      </c>
    </row>
    <row r="134" spans="1:8" ht="12.75">
      <c r="A134" s="23">
        <f t="shared" si="10"/>
        <v>5487.480128185806</v>
      </c>
      <c r="B134" s="21">
        <f t="shared" si="11"/>
        <v>5.780181905081644E-05</v>
      </c>
      <c r="C134" s="21">
        <f t="shared" si="12"/>
        <v>40.79996022644381</v>
      </c>
      <c r="D134" s="21">
        <f t="shared" si="12"/>
        <v>8.857541507565204</v>
      </c>
      <c r="E134" s="21">
        <f t="shared" si="12"/>
        <v>20.835575926179587</v>
      </c>
      <c r="F134" s="21">
        <f t="shared" si="12"/>
        <v>0.051897537117782465</v>
      </c>
      <c r="G134" s="22">
        <f t="shared" si="13"/>
        <v>-8.910907388787457</v>
      </c>
      <c r="H134" s="22">
        <f t="shared" si="14"/>
        <v>-8.86074330284017</v>
      </c>
    </row>
    <row r="135" spans="1:8" ht="12.75">
      <c r="A135" s="23">
        <f t="shared" si="10"/>
        <v>5881.335577584803</v>
      </c>
      <c r="B135" s="21">
        <f t="shared" si="11"/>
        <v>5.0319449481602157E-05</v>
      </c>
      <c r="C135" s="21">
        <f t="shared" si="12"/>
        <v>41.4019734560179</v>
      </c>
      <c r="D135" s="21">
        <f t="shared" si="12"/>
        <v>9.385842835320702</v>
      </c>
      <c r="E135" s="21">
        <f t="shared" si="12"/>
        <v>21.432995480465923</v>
      </c>
      <c r="F135" s="21">
        <f t="shared" si="12"/>
        <v>0.05956192267476576</v>
      </c>
      <c r="G135" s="22">
        <f t="shared" si="13"/>
        <v>-9.443802391830712</v>
      </c>
      <c r="H135" s="22">
        <f t="shared" si="14"/>
        <v>-9.385973920326439</v>
      </c>
    </row>
    <row r="136" spans="1:8" ht="12.75">
      <c r="A136" s="23">
        <f t="shared" si="10"/>
        <v>6303.459396325954</v>
      </c>
      <c r="B136" s="21">
        <f t="shared" si="11"/>
        <v>4.3805657942145994E-05</v>
      </c>
      <c r="C136" s="21">
        <f t="shared" si="12"/>
        <v>42.003992738464724</v>
      </c>
      <c r="D136" s="21">
        <f t="shared" si="12"/>
        <v>9.922656142957896</v>
      </c>
      <c r="E136" s="21">
        <f t="shared" si="12"/>
        <v>22.03101169569196</v>
      </c>
      <c r="F136" s="21">
        <f t="shared" si="12"/>
        <v>0.06834932954974912</v>
      </c>
      <c r="G136" s="22">
        <f t="shared" si="13"/>
        <v>-9.984618766688698</v>
      </c>
      <c r="H136" s="22">
        <f t="shared" si="14"/>
        <v>-9.918002888309438</v>
      </c>
    </row>
    <row r="137" spans="1:8" ht="12.75">
      <c r="A137" s="23">
        <f t="shared" si="10"/>
        <v>6755.8805031572</v>
      </c>
      <c r="B137" s="21">
        <f t="shared" si="11"/>
        <v>3.81350650940895E-05</v>
      </c>
      <c r="C137" s="21">
        <f aca="true" t="shared" si="15" ref="C137:F175">10*LOG10(1+(4*PI()*PI()*C$31*C$31*$A137*$A137))</f>
        <v>42.6060172903426</v>
      </c>
      <c r="D137" s="21">
        <f t="shared" si="15"/>
        <v>10.467106360957263</v>
      </c>
      <c r="E137" s="21">
        <f t="shared" si="15"/>
        <v>22.629548307190525</v>
      </c>
      <c r="F137" s="21">
        <f t="shared" si="15"/>
        <v>0.07842151542644428</v>
      </c>
      <c r="G137" s="22">
        <f t="shared" si="13"/>
        <v>-10.532556925067372</v>
      </c>
      <c r="H137" s="22">
        <f t="shared" si="14"/>
        <v>-10.455868860811421</v>
      </c>
    </row>
    <row r="138" spans="1:8" ht="12.75">
      <c r="A138" s="23">
        <f t="shared" si="10"/>
        <v>7240.773439350227</v>
      </c>
      <c r="B138" s="21">
        <f t="shared" si="11"/>
        <v>3.319852126674955E-05</v>
      </c>
      <c r="C138" s="21">
        <f t="shared" si="15"/>
        <v>43.208046429601865</v>
      </c>
      <c r="D138" s="21">
        <f t="shared" si="15"/>
        <v>11.01838427408466</v>
      </c>
      <c r="E138" s="21">
        <f t="shared" si="15"/>
        <v>23.22853868911254</v>
      </c>
      <c r="F138" s="21">
        <f t="shared" si="15"/>
        <v>0.08996266405021781</v>
      </c>
      <c r="G138" s="22">
        <f t="shared" si="13"/>
        <v>-11.086873595532019</v>
      </c>
      <c r="H138" s="22">
        <f t="shared" si="14"/>
        <v>-10.998644382652294</v>
      </c>
    </row>
    <row r="139" spans="1:8" ht="12.75">
      <c r="A139" s="23">
        <f t="shared" si="10"/>
        <v>7760.468820533217</v>
      </c>
      <c r="B139" s="21">
        <f t="shared" si="11"/>
        <v>2.890100568904766E-05</v>
      </c>
      <c r="C139" s="21">
        <f t="shared" si="15"/>
        <v>43.810079562465575</v>
      </c>
      <c r="D139" s="21">
        <f t="shared" si="15"/>
        <v>11.575747202593297</v>
      </c>
      <c r="E139" s="21">
        <f t="shared" si="15"/>
        <v>23.827924662594366</v>
      </c>
      <c r="F139" s="21">
        <f t="shared" si="15"/>
        <v>0.1031822227521789</v>
      </c>
      <c r="G139" s="22">
        <f t="shared" si="13"/>
        <v>-11.646883683422537</v>
      </c>
      <c r="H139" s="22">
        <f t="shared" si="14"/>
        <v>-11.545434911840857</v>
      </c>
    </row>
    <row r="140" spans="1:8" ht="12.75">
      <c r="A140" s="23">
        <f t="shared" si="10"/>
        <v>8317.46453868783</v>
      </c>
      <c r="B140" s="21">
        <f t="shared" si="11"/>
        <v>2.515979761897193E-05</v>
      </c>
      <c r="C140" s="21">
        <f t="shared" si="15"/>
        <v>44.41211617200713</v>
      </c>
      <c r="D140" s="21">
        <f t="shared" si="15"/>
        <v>12.138518034894295</v>
      </c>
      <c r="E140" s="21">
        <f t="shared" si="15"/>
        <v>24.427655444891766</v>
      </c>
      <c r="F140" s="21">
        <f t="shared" si="15"/>
        <v>0.11831801427347326</v>
      </c>
      <c r="G140" s="22">
        <f t="shared" si="13"/>
        <v>-12.211960342967693</v>
      </c>
      <c r="H140" s="22">
        <f t="shared" si="14"/>
        <v>-12.095375779864717</v>
      </c>
    </row>
    <row r="141" spans="1:8" ht="12.75">
      <c r="A141" s="23">
        <f t="shared" si="10"/>
        <v>8914.437768152287</v>
      </c>
      <c r="B141" s="21">
        <f t="shared" si="11"/>
        <v>2.1902884202963446E-05</v>
      </c>
      <c r="C141" s="21">
        <f t="shared" si="15"/>
        <v>45.01415580820526</v>
      </c>
      <c r="D141" s="21">
        <f t="shared" si="15"/>
        <v>12.706083015706044</v>
      </c>
      <c r="E141" s="21">
        <f t="shared" si="15"/>
        <v>25.027686724381777</v>
      </c>
      <c r="F141" s="21">
        <f t="shared" si="15"/>
        <v>0.13563962196599244</v>
      </c>
      <c r="G141" s="22">
        <f t="shared" si="13"/>
        <v>-12.781533680487563</v>
      </c>
      <c r="H141" s="22">
        <f t="shared" si="14"/>
        <v>-12.647627509692065</v>
      </c>
    </row>
    <row r="142" spans="1:8" ht="12.75">
      <c r="A142" s="23">
        <f t="shared" si="10"/>
        <v>9554.257833336882</v>
      </c>
      <c r="B142" s="21">
        <f t="shared" si="11"/>
        <v>1.9067574404197508E-05</v>
      </c>
      <c r="C142" s="21">
        <f t="shared" si="15"/>
        <v>45.6161980792858</v>
      </c>
      <c r="D142" s="21">
        <f t="shared" si="15"/>
        <v>13.27788864394421</v>
      </c>
      <c r="E142" s="21">
        <f t="shared" si="15"/>
        <v>25.62797984755114</v>
      </c>
      <c r="F142" s="21">
        <f t="shared" si="15"/>
        <v>0.1554520365655061</v>
      </c>
      <c r="G142" s="22">
        <f t="shared" si="13"/>
        <v>-13.355088456636906</v>
      </c>
      <c r="H142" s="22">
        <f t="shared" si="14"/>
        <v>-13.201369871241894</v>
      </c>
    </row>
    <row r="143" spans="1:8" ht="12.75">
      <c r="A143" s="23">
        <f t="shared" si="10"/>
        <v>10239.999999999973</v>
      </c>
      <c r="B143" s="21">
        <f t="shared" si="11"/>
        <v>1.6599292355566176E-05</v>
      </c>
      <c r="C143" s="21">
        <f t="shared" si="15"/>
        <v>46.21824264418352</v>
      </c>
      <c r="D143" s="21">
        <f t="shared" si="15"/>
        <v>13.853437979517729</v>
      </c>
      <c r="E143" s="21">
        <f t="shared" si="15"/>
        <v>26.228501105319133</v>
      </c>
      <c r="F143" s="21">
        <f t="shared" si="15"/>
        <v>0.17809953797718286</v>
      </c>
      <c r="G143" s="22">
        <f t="shared" si="13"/>
        <v>-13.93216109934015</v>
      </c>
      <c r="H143" s="22">
        <f t="shared" si="14"/>
        <v>-13.755795012533461</v>
      </c>
    </row>
    <row r="144" spans="1:8" ht="12.75">
      <c r="A144" s="23">
        <f t="shared" si="10"/>
        <v>10974.960256371613</v>
      </c>
      <c r="B144" s="21">
        <f t="shared" si="11"/>
        <v>1.4450526884990973E-05</v>
      </c>
      <c r="C144" s="21">
        <f t="shared" si="15"/>
        <v>46.82028920597933</v>
      </c>
      <c r="D144" s="21">
        <f t="shared" si="15"/>
        <v>14.432286603234985</v>
      </c>
      <c r="E144" s="21">
        <f t="shared" si="15"/>
        <v>26.8292211072453</v>
      </c>
      <c r="F144" s="21">
        <f t="shared" si="15"/>
        <v>0.20396976608314052</v>
      </c>
      <c r="G144" s="22">
        <f t="shared" si="13"/>
        <v>-14.512336282927052</v>
      </c>
      <c r="H144" s="22">
        <f t="shared" si="14"/>
        <v>-14.310099968014399</v>
      </c>
    </row>
    <row r="145" spans="1:8" ht="12.75">
      <c r="A145" s="23">
        <f t="shared" si="10"/>
        <v>11762.671155169606</v>
      </c>
      <c r="B145" s="21">
        <f t="shared" si="11"/>
        <v>1.2579917029134226E-05</v>
      </c>
      <c r="C145" s="21">
        <f t="shared" si="15"/>
        <v>47.4223375061867</v>
      </c>
      <c r="D145" s="21">
        <f t="shared" si="15"/>
        <v>15.014038422757727</v>
      </c>
      <c r="E145" s="21">
        <f t="shared" si="15"/>
        <v>27.430114233320523</v>
      </c>
      <c r="F145" s="21">
        <f t="shared" si="15"/>
        <v>0.23349790967907655</v>
      </c>
      <c r="G145" s="22">
        <f t="shared" si="13"/>
        <v>-15.09524327658194</v>
      </c>
      <c r="H145" s="22">
        <f t="shared" si="14"/>
        <v>-14.863478818073354</v>
      </c>
    </row>
    <row r="146" spans="1:8" ht="12.75">
      <c r="A146" s="23">
        <f t="shared" si="10"/>
        <v>12606.918792651908</v>
      </c>
      <c r="B146" s="21">
        <f t="shared" si="11"/>
        <v>1.0951455909403433E-05</v>
      </c>
      <c r="C146" s="21">
        <f t="shared" si="15"/>
        <v>48.02438731977742</v>
      </c>
      <c r="D146" s="21">
        <f t="shared" si="15"/>
        <v>15.59834147198648</v>
      </c>
      <c r="E146" s="21">
        <f t="shared" si="15"/>
        <v>28.031158154118152</v>
      </c>
      <c r="F146" s="21">
        <f t="shared" si="15"/>
        <v>0.26717091156827055</v>
      </c>
      <c r="G146" s="22">
        <f t="shared" si="13"/>
        <v>-15.68055221860378</v>
      </c>
      <c r="H146" s="22">
        <f t="shared" si="14"/>
        <v>-15.415114758206002</v>
      </c>
    </row>
    <row r="147" spans="1:8" ht="12.75">
      <c r="A147" s="23">
        <f t="shared" si="10"/>
        <v>13511.7610063144</v>
      </c>
      <c r="B147" s="21">
        <f t="shared" si="11"/>
        <v>9.53379766703559E-06</v>
      </c>
      <c r="C147" s="21">
        <f t="shared" si="15"/>
        <v>48.62643845085107</v>
      </c>
      <c r="D147" s="21">
        <f t="shared" si="15"/>
        <v>16.184883812298445</v>
      </c>
      <c r="E147" s="21">
        <f t="shared" si="15"/>
        <v>28.632333411080563</v>
      </c>
      <c r="F147" s="21">
        <f t="shared" si="15"/>
        <v>0.3055315501222459</v>
      </c>
      <c r="G147" s="22">
        <f t="shared" si="13"/>
        <v>-16.26797043302699</v>
      </c>
      <c r="H147" s="22">
        <f t="shared" si="14"/>
        <v>-15.96417233407523</v>
      </c>
    </row>
    <row r="148" spans="1:8" ht="12.75">
      <c r="A148" s="23">
        <f t="shared" si="10"/>
        <v>14481.546878700454</v>
      </c>
      <c r="B148" s="21">
        <f t="shared" si="11"/>
        <v>8.299654108843412E-06</v>
      </c>
      <c r="C148" s="21">
        <f t="shared" si="15"/>
        <v>49.228490728864934</v>
      </c>
      <c r="D148" s="21">
        <f t="shared" si="15"/>
        <v>16.77338961178021</v>
      </c>
      <c r="E148" s="21">
        <f t="shared" si="15"/>
        <v>29.23362304963198</v>
      </c>
      <c r="F148" s="21">
        <f t="shared" si="15"/>
        <v>0.3491822132410318</v>
      </c>
      <c r="G148" s="22">
        <f t="shared" si="13"/>
        <v>-16.857238871971198</v>
      </c>
      <c r="H148" s="22">
        <f t="shared" si="14"/>
        <v>-16.509790109900663</v>
      </c>
    </row>
    <row r="149" spans="1:8" ht="12.75">
      <c r="A149" s="23">
        <f t="shared" si="10"/>
        <v>15520.937641066434</v>
      </c>
      <c r="B149" s="21">
        <f t="shared" si="11"/>
        <v>7.225269453234973E-06</v>
      </c>
      <c r="C149" s="21">
        <f t="shared" si="15"/>
        <v>49.83054400535181</v>
      </c>
      <c r="D149" s="21">
        <f t="shared" si="15"/>
        <v>17.363615452604048</v>
      </c>
      <c r="E149" s="21">
        <f t="shared" si="15"/>
        <v>29.83501229864106</v>
      </c>
      <c r="F149" s="21">
        <f t="shared" si="15"/>
        <v>0.3987881303201734</v>
      </c>
      <c r="G149" s="22">
        <f t="shared" si="13"/>
        <v>-17.448128740272836</v>
      </c>
      <c r="H149" s="22">
        <f t="shared" si="14"/>
        <v>-17.051074061123153</v>
      </c>
    </row>
    <row r="150" spans="1:8" ht="12.75">
      <c r="A150" s="23">
        <f t="shared" si="10"/>
        <v>16634.92907737566</v>
      </c>
      <c r="B150" s="21">
        <f t="shared" si="11"/>
        <v>6.289963069974536E-06</v>
      </c>
      <c r="C150" s="21">
        <f t="shared" si="15"/>
        <v>50.432598151062635</v>
      </c>
      <c r="D150" s="21">
        <f t="shared" si="15"/>
        <v>17.955346896315675</v>
      </c>
      <c r="E150" s="21">
        <f t="shared" si="15"/>
        <v>30.436488290508358</v>
      </c>
      <c r="F150" s="21">
        <f t="shared" si="15"/>
        <v>0.45507977333546973</v>
      </c>
      <c r="G150" s="22">
        <f t="shared" si="13"/>
        <v>-18.040438337827986</v>
      </c>
      <c r="H150" s="22">
        <f t="shared" si="14"/>
        <v>-17.58709201566301</v>
      </c>
    </row>
    <row r="151" spans="1:8" ht="12.75">
      <c r="A151" s="23">
        <f t="shared" si="10"/>
        <v>17828.875536304575</v>
      </c>
      <c r="B151" s="21">
        <f t="shared" si="11"/>
        <v>5.475731406690848E-06</v>
      </c>
      <c r="C151" s="21">
        <f t="shared" si="15"/>
        <v>51.03465305347889</v>
      </c>
      <c r="D151" s="21">
        <f t="shared" si="15"/>
        <v>18.548395321244406</v>
      </c>
      <c r="E151" s="21">
        <f t="shared" si="15"/>
        <v>31.038039816828803</v>
      </c>
      <c r="F151" s="21">
        <f t="shared" si="15"/>
        <v>0.5188540827342668</v>
      </c>
      <c r="G151" s="22">
        <f t="shared" si="13"/>
        <v>-18.633990138852525</v>
      </c>
      <c r="H151" s="22">
        <f t="shared" si="14"/>
        <v>-18.116869507288754</v>
      </c>
    </row>
    <row r="152" spans="1:8" ht="12.75">
      <c r="A152" s="23">
        <f t="shared" si="10"/>
        <v>19108.515666673764</v>
      </c>
      <c r="B152" s="21">
        <f t="shared" si="11"/>
        <v>4.766901449155043E-06</v>
      </c>
      <c r="C152" s="21">
        <f t="shared" si="15"/>
        <v>51.63670861464705</v>
      </c>
      <c r="D152" s="21">
        <f t="shared" si="15"/>
        <v>19.142595034709274</v>
      </c>
      <c r="E152" s="21">
        <f t="shared" si="15"/>
        <v>31.639657115183066</v>
      </c>
      <c r="F152" s="21">
        <f t="shared" si="15"/>
        <v>0.5909741225771693</v>
      </c>
      <c r="G152" s="22">
        <f t="shared" si="13"/>
        <v>-19.228628115131286</v>
      </c>
      <c r="H152" s="22">
        <f t="shared" si="14"/>
        <v>-18.639387443724615</v>
      </c>
    </row>
    <row r="153" spans="1:8" ht="12.75">
      <c r="A153" s="23">
        <f t="shared" si="10"/>
        <v>20479.999999999945</v>
      </c>
      <c r="B153" s="21">
        <f t="shared" si="11"/>
        <v>4.149829037070036E-06</v>
      </c>
      <c r="C153" s="21">
        <f t="shared" si="15"/>
        <v>52.238764749293225</v>
      </c>
      <c r="D153" s="21">
        <f t="shared" si="15"/>
        <v>19.737800654423058</v>
      </c>
      <c r="E153" s="21">
        <f t="shared" si="15"/>
        <v>32.2413316831487</v>
      </c>
      <c r="F153" s="21">
        <f t="shared" si="15"/>
        <v>0.6723667295712101</v>
      </c>
      <c r="G153" s="22">
        <f t="shared" si="13"/>
        <v>-19.824215301525612</v>
      </c>
      <c r="H153" s="22">
        <f t="shared" si="14"/>
        <v>-19.153582023124898</v>
      </c>
    </row>
    <row r="154" spans="1:8" ht="12.75">
      <c r="A154" s="23">
        <f t="shared" si="10"/>
        <v>21949.920512743225</v>
      </c>
      <c r="B154" s="21">
        <f t="shared" si="11"/>
        <v>3.6126362287021544E-06</v>
      </c>
      <c r="C154" s="21">
        <f t="shared" si="15"/>
        <v>52.84082138318189</v>
      </c>
      <c r="D154" s="21">
        <f t="shared" si="15"/>
        <v>20.333884747814878</v>
      </c>
      <c r="E154" s="21">
        <f t="shared" si="15"/>
        <v>32.84305611609921</v>
      </c>
      <c r="F154" s="21">
        <f t="shared" si="15"/>
        <v>0.7640177017773652</v>
      </c>
      <c r="G154" s="22">
        <f t="shared" si="13"/>
        <v>-20.42063159585559</v>
      </c>
      <c r="H154" s="22">
        <f t="shared" si="14"/>
        <v>-19.65834734524872</v>
      </c>
    </row>
    <row r="155" spans="1:8" ht="12.75">
      <c r="A155" s="23">
        <f t="shared" si="10"/>
        <v>23525.342310339212</v>
      </c>
      <c r="B155" s="21">
        <f t="shared" si="11"/>
        <v>3.1449826732380693E-06</v>
      </c>
      <c r="C155" s="21">
        <f t="shared" si="15"/>
        <v>53.442878451687065</v>
      </c>
      <c r="D155" s="21">
        <f t="shared" si="15"/>
        <v>20.930735714323884</v>
      </c>
      <c r="E155" s="21">
        <f t="shared" si="15"/>
        <v>33.44482396578132</v>
      </c>
      <c r="F155" s="21">
        <f t="shared" si="15"/>
        <v>0.8669640862684889</v>
      </c>
      <c r="G155" s="22">
        <f t="shared" si="13"/>
        <v>-21.017771781187662</v>
      </c>
      <c r="H155" s="22">
        <f t="shared" si="14"/>
        <v>-20.152541146089675</v>
      </c>
    </row>
    <row r="156" spans="1:8" ht="12.75">
      <c r="A156" s="23">
        <f t="shared" si="10"/>
        <v>25213.837585303816</v>
      </c>
      <c r="B156" s="21">
        <f t="shared" si="11"/>
        <v>2.737866565861632E-06</v>
      </c>
      <c r="C156" s="21">
        <f t="shared" si="15"/>
        <v>54.0449358985484</v>
      </c>
      <c r="D156" s="21">
        <f t="shared" si="15"/>
        <v>21.528255893576926</v>
      </c>
      <c r="E156" s="21">
        <f t="shared" si="15"/>
        <v>34.04662961703335</v>
      </c>
      <c r="F156" s="21">
        <f t="shared" si="15"/>
        <v>0.9822831832209343</v>
      </c>
      <c r="G156" s="22">
        <f t="shared" si="13"/>
        <v>-21.615543756050016</v>
      </c>
      <c r="H156" s="22">
        <f t="shared" si="14"/>
        <v>-20.634994023999575</v>
      </c>
    </row>
    <row r="157" spans="1:8" ht="12.75">
      <c r="A157" s="23">
        <f t="shared" si="10"/>
        <v>27023.5220126288</v>
      </c>
      <c r="B157" s="21">
        <f t="shared" si="11"/>
        <v>2.3834513786080923E-06</v>
      </c>
      <c r="C157" s="21">
        <f t="shared" si="15"/>
        <v>54.6469936747883</v>
      </c>
      <c r="D157" s="21">
        <f t="shared" si="15"/>
        <v>22.12635988136026</v>
      </c>
      <c r="E157" s="21">
        <f t="shared" si="15"/>
        <v>34.64846818033657</v>
      </c>
      <c r="F157" s="21">
        <f t="shared" si="15"/>
        <v>1.111077998425373</v>
      </c>
      <c r="G157" s="22">
        <f t="shared" si="13"/>
        <v>-22.21386695677002</v>
      </c>
      <c r="H157" s="22">
        <f t="shared" si="14"/>
        <v>-21.10452240951514</v>
      </c>
    </row>
    <row r="158" spans="1:8" ht="12.75">
      <c r="A158" s="23">
        <f t="shared" si="10"/>
        <v>28963.093757400908</v>
      </c>
      <c r="B158" s="21">
        <f t="shared" si="11"/>
        <v>2.0749150141975737E-06</v>
      </c>
      <c r="C158" s="21">
        <f t="shared" si="15"/>
        <v>55.24905173776918</v>
      </c>
      <c r="D158" s="21">
        <f t="shared" si="15"/>
        <v>22.72497303511382</v>
      </c>
      <c r="E158" s="21">
        <f t="shared" si="15"/>
        <v>35.250335398180354</v>
      </c>
      <c r="F158" s="21">
        <f t="shared" si="15"/>
        <v>1.25445905521401</v>
      </c>
      <c r="G158" s="22">
        <f t="shared" si="13"/>
        <v>-22.81267095566068</v>
      </c>
      <c r="H158" s="22">
        <f t="shared" si="14"/>
        <v>-21.55994535161716</v>
      </c>
    </row>
    <row r="159" spans="1:8" ht="12.75">
      <c r="A159" s="23">
        <f t="shared" si="10"/>
        <v>31041.875282132867</v>
      </c>
      <c r="B159" s="21">
        <f t="shared" si="11"/>
        <v>1.8063184899930972E-06</v>
      </c>
      <c r="C159" s="21">
        <f t="shared" si="15"/>
        <v>55.8511100503728</v>
      </c>
      <c r="D159" s="21">
        <f t="shared" si="15"/>
        <v>23.32403015107143</v>
      </c>
      <c r="E159" s="21">
        <f t="shared" si="15"/>
        <v>35.85222756347583</v>
      </c>
      <c r="F159" s="21">
        <f t="shared" si="15"/>
        <v>1.4135227219078446</v>
      </c>
      <c r="G159" s="22">
        <f t="shared" si="13"/>
        <v>-23.411894218926435</v>
      </c>
      <c r="H159" s="22">
        <f t="shared" si="14"/>
        <v>-22.00010494818909</v>
      </c>
    </row>
    <row r="160" spans="1:8" ht="12.75">
      <c r="A160" s="23">
        <f t="shared" si="10"/>
        <v>33269.85815475132</v>
      </c>
      <c r="B160" s="21">
        <f t="shared" si="11"/>
        <v>1.5724916217846451E-06</v>
      </c>
      <c r="C160" s="21">
        <f t="shared" si="15"/>
        <v>56.453168580285826</v>
      </c>
      <c r="D160" s="21">
        <f t="shared" si="15"/>
        <v>23.923474295952047</v>
      </c>
      <c r="E160" s="21">
        <f t="shared" si="15"/>
        <v>36.45414144847607</v>
      </c>
      <c r="F160" s="21">
        <f t="shared" si="15"/>
        <v>1.5893265136153392</v>
      </c>
      <c r="G160" s="22">
        <f t="shared" si="13"/>
        <v>-24.011483008719836</v>
      </c>
      <c r="H160" s="22">
        <f t="shared" si="14"/>
        <v>-22.42388994627499</v>
      </c>
    </row>
    <row r="161" spans="1:8" ht="12.75">
      <c r="A161" s="23">
        <f t="shared" si="10"/>
        <v>35657.75107260915</v>
      </c>
      <c r="B161" s="21">
        <f t="shared" si="11"/>
        <v>1.3689334991627083E-06</v>
      </c>
      <c r="C161" s="21">
        <f t="shared" si="15"/>
        <v>57.055227299377776</v>
      </c>
      <c r="D161" s="21">
        <f t="shared" si="15"/>
        <v>24.52325577713198</v>
      </c>
      <c r="E161" s="21">
        <f t="shared" si="15"/>
        <v>37.05607424285592</v>
      </c>
      <c r="F161" s="21">
        <f t="shared" si="15"/>
        <v>1.7828621663197408</v>
      </c>
      <c r="G161" s="22">
        <f t="shared" si="13"/>
        <v>-24.61139041461187</v>
      </c>
      <c r="H161" s="22">
        <f t="shared" si="14"/>
        <v>-22.830261699462625</v>
      </c>
    </row>
    <row r="162" spans="1:8" ht="12.75">
      <c r="A162" s="23">
        <f t="shared" si="10"/>
        <v>38217.03133334753</v>
      </c>
      <c r="B162" s="21">
        <f t="shared" si="11"/>
        <v>1.1917258528117785E-06</v>
      </c>
      <c r="C162" s="21">
        <f t="shared" si="15"/>
        <v>57.65728618315968</v>
      </c>
      <c r="D162" s="21">
        <f t="shared" si="15"/>
        <v>25.12333123639051</v>
      </c>
      <c r="E162" s="21">
        <f t="shared" si="15"/>
        <v>37.65802349977576</v>
      </c>
      <c r="F162" s="21">
        <f t="shared" si="15"/>
        <v>1.99502762184457</v>
      </c>
      <c r="G162" s="22">
        <f t="shared" si="13"/>
        <v>-25.211575500732465</v>
      </c>
      <c r="H162" s="22">
        <f t="shared" si="14"/>
        <v>-23.21828133005839</v>
      </c>
    </row>
    <row r="163" spans="1:8" ht="12.75">
      <c r="A163" s="23">
        <f t="shared" si="10"/>
        <v>40959.99999999989</v>
      </c>
      <c r="B163" s="21">
        <f t="shared" si="11"/>
        <v>1.037457631014485E-06</v>
      </c>
      <c r="C163" s="21">
        <f t="shared" si="15"/>
        <v>58.259345210312546</v>
      </c>
      <c r="D163" s="21">
        <f t="shared" si="15"/>
        <v>25.723662853543846</v>
      </c>
      <c r="E163" s="21">
        <f t="shared" si="15"/>
        <v>38.259987088903436</v>
      </c>
      <c r="F163" s="21">
        <f t="shared" si="15"/>
        <v>2.226599358301735</v>
      </c>
      <c r="G163" s="22">
        <f t="shared" si="13"/>
        <v>-25.812002555910993</v>
      </c>
      <c r="H163" s="22">
        <f t="shared" si="14"/>
        <v>-23.587136648779747</v>
      </c>
    </row>
    <row r="164" spans="1:8" ht="12.75">
      <c r="A164" s="23">
        <f aca="true" t="shared" si="16" ref="A164:A174">A163*(2^0.1)</f>
        <v>43899.84102548645</v>
      </c>
      <c r="B164" s="21">
        <f t="shared" si="11"/>
        <v>9.031593389070926E-07</v>
      </c>
      <c r="C164" s="21">
        <f t="shared" si="15"/>
        <v>58.86140436227716</v>
      </c>
      <c r="D164" s="21">
        <f t="shared" si="15"/>
        <v>26.32421764750951</v>
      </c>
      <c r="E164" s="21">
        <f t="shared" si="15"/>
        <v>38.861963155499296</v>
      </c>
      <c r="F164" s="21">
        <f t="shared" si="15"/>
        <v>2.4782067004442188</v>
      </c>
      <c r="G164" s="22">
        <f t="shared" si="13"/>
        <v>-26.412640435245407</v>
      </c>
      <c r="H164" s="22">
        <f t="shared" si="14"/>
        <v>-23.936167185971684</v>
      </c>
    </row>
    <row r="165" spans="1:8" ht="12.75">
      <c r="A165" s="23">
        <f t="shared" si="16"/>
        <v>47050.684620678425</v>
      </c>
      <c r="B165" s="21">
        <f t="shared" si="11"/>
        <v>7.862458820632102E-07</v>
      </c>
      <c r="C165" s="21">
        <f t="shared" si="15"/>
        <v>59.46346362289677</v>
      </c>
      <c r="D165" s="21">
        <f t="shared" si="15"/>
        <v>26.924966863538696</v>
      </c>
      <c r="E165" s="21">
        <f t="shared" si="15"/>
        <v>39.46395008478396</v>
      </c>
      <c r="F165" s="21">
        <f t="shared" si="15"/>
        <v>2.750309800422015</v>
      </c>
      <c r="G165" s="22">
        <f t="shared" si="13"/>
        <v>-27.01346198260954</v>
      </c>
      <c r="H165" s="22">
        <f t="shared" si="14"/>
        <v>-24.26488563335802</v>
      </c>
    </row>
    <row r="166" spans="1:8" ht="12.75">
      <c r="A166" s="23">
        <f t="shared" si="16"/>
        <v>50427.67517060763</v>
      </c>
      <c r="B166" s="21">
        <f t="shared" si="11"/>
        <v>6.844668035188034E-07</v>
      </c>
      <c r="C166" s="21">
        <f t="shared" si="15"/>
        <v>60.06552297810606</v>
      </c>
      <c r="D166" s="21">
        <f t="shared" si="15"/>
        <v>27.525885436492036</v>
      </c>
      <c r="E166" s="21">
        <f t="shared" si="15"/>
        <v>40.06594647090819</v>
      </c>
      <c r="F166" s="21">
        <f t="shared" si="15"/>
        <v>3.0431828594033146</v>
      </c>
      <c r="G166" s="22">
        <f t="shared" si="13"/>
        <v>-27.61444352464794</v>
      </c>
      <c r="H166" s="22">
        <f t="shared" si="14"/>
        <v>-24.572994116415117</v>
      </c>
    </row>
    <row r="167" spans="1:8" ht="12.75">
      <c r="A167" s="23">
        <f t="shared" si="16"/>
        <v>54047.0440252576</v>
      </c>
      <c r="B167" s="21">
        <f t="shared" si="11"/>
        <v>5.958629672828336E-07</v>
      </c>
      <c r="C167" s="21">
        <f t="shared" si="15"/>
        <v>60.667582415660476</v>
      </c>
      <c r="D167" s="21">
        <f t="shared" si="15"/>
        <v>28.126951521099926</v>
      </c>
      <c r="E167" s="21">
        <f t="shared" si="15"/>
        <v>40.66795108993175</v>
      </c>
      <c r="F167" s="21">
        <f t="shared" si="15"/>
        <v>3.3569038572354803</v>
      </c>
      <c r="G167" s="22">
        <f t="shared" si="13"/>
        <v>-28.21556442778669</v>
      </c>
      <c r="H167" s="22">
        <f t="shared" si="14"/>
        <v>-24.860394021721703</v>
      </c>
    </row>
    <row r="168" spans="1:8" ht="12.75">
      <c r="A168" s="23">
        <f t="shared" si="16"/>
        <v>57926.187514801815</v>
      </c>
      <c r="B168" s="21">
        <f t="shared" si="11"/>
        <v>5.187288464861745E-07</v>
      </c>
      <c r="C168" s="21">
        <f t="shared" si="15"/>
        <v>61.269641924900505</v>
      </c>
      <c r="D168" s="21">
        <f t="shared" si="15"/>
        <v>28.728146081134387</v>
      </c>
      <c r="E168" s="21">
        <f t="shared" si="15"/>
        <v>41.26996287629409</v>
      </c>
      <c r="F168" s="21">
        <f t="shared" si="15"/>
        <v>3.6913515945589097</v>
      </c>
      <c r="G168" s="22">
        <f t="shared" si="13"/>
        <v>-28.81680671069884</v>
      </c>
      <c r="H168" s="22">
        <f t="shared" si="14"/>
        <v>-25.127188567310426</v>
      </c>
    </row>
    <row r="169" spans="1:8" ht="12.75">
      <c r="A169" s="23">
        <f t="shared" si="16"/>
        <v>62083.750564265734</v>
      </c>
      <c r="B169" s="21">
        <f aca="true" t="shared" si="17" ref="B169:B175">10*LOG10(1+1/(4*PI()*PI()*B$31*B$31*$A169*$A169))</f>
        <v>4.515796929311873E-07</v>
      </c>
      <c r="C169" s="21">
        <f t="shared" si="15"/>
        <v>61.87170149654651</v>
      </c>
      <c r="D169" s="21">
        <f t="shared" si="15"/>
        <v>29.32945253032145</v>
      </c>
      <c r="E169" s="21">
        <f t="shared" si="15"/>
        <v>41.87198090232641</v>
      </c>
      <c r="F169" s="21">
        <f t="shared" si="15"/>
        <v>4.046210282992673</v>
      </c>
      <c r="G169" s="22">
        <f aca="true" t="shared" si="18" ref="G169:G174">E169-C169-D169-G$29</f>
        <v>-29.418154705499575</v>
      </c>
      <c r="H169" s="22">
        <f aca="true" t="shared" si="19" ref="H169:H174">E169+F169-C169-D169-H$29</f>
        <v>-25.373677873677394</v>
      </c>
    </row>
    <row r="170" spans="1:8" ht="12.75">
      <c r="A170" s="23">
        <f t="shared" si="16"/>
        <v>66539.71630950263</v>
      </c>
      <c r="B170" s="21">
        <f t="shared" si="17"/>
        <v>3.9312295834216653E-07</v>
      </c>
      <c r="C170" s="21">
        <f t="shared" si="15"/>
        <v>62.47376112252006</v>
      </c>
      <c r="D170" s="21">
        <f t="shared" si="15"/>
        <v>29.930856418642758</v>
      </c>
      <c r="E170" s="21">
        <f t="shared" si="15"/>
        <v>42.474004360412465</v>
      </c>
      <c r="F170" s="21">
        <f t="shared" si="15"/>
        <v>4.420981318497619</v>
      </c>
      <c r="G170" s="22">
        <f t="shared" si="18"/>
        <v>-30.01959476170839</v>
      </c>
      <c r="H170" s="22">
        <f t="shared" si="19"/>
        <v>-25.60034689438126</v>
      </c>
    </row>
    <row r="171" spans="1:8" ht="12.75">
      <c r="A171" s="23">
        <f t="shared" si="16"/>
        <v>71315.5021452183</v>
      </c>
      <c r="B171" s="21">
        <f t="shared" si="17"/>
        <v>3.4223341476160243E-07</v>
      </c>
      <c r="C171" s="21">
        <f t="shared" si="15"/>
        <v>63.075820795788516</v>
      </c>
      <c r="D171" s="21">
        <f t="shared" si="15"/>
        <v>30.532345158413904</v>
      </c>
      <c r="E171" s="21">
        <f t="shared" si="15"/>
        <v>43.076032547455874</v>
      </c>
      <c r="F171" s="21">
        <f t="shared" si="15"/>
        <v>4.8150013215064815</v>
      </c>
      <c r="G171" s="22">
        <f t="shared" si="18"/>
        <v>-30.62111498770458</v>
      </c>
      <c r="H171" s="22">
        <f t="shared" si="19"/>
        <v>-25.807847117368595</v>
      </c>
    </row>
    <row r="172" spans="1:8" ht="12.75">
      <c r="A172" s="23">
        <f t="shared" si="16"/>
        <v>76434.06266669506</v>
      </c>
      <c r="B172" s="21">
        <f t="shared" si="17"/>
        <v>2.979314938606543E-07</v>
      </c>
      <c r="C172" s="21">
        <f t="shared" si="15"/>
        <v>63.677880510229585</v>
      </c>
      <c r="D172" s="21">
        <f t="shared" si="15"/>
        <v>31.133907785190715</v>
      </c>
      <c r="E172" s="21">
        <f t="shared" si="15"/>
        <v>43.67806485135637</v>
      </c>
      <c r="F172" s="21">
        <f t="shared" si="15"/>
        <v>5.22746509574739</v>
      </c>
      <c r="G172" s="22">
        <f t="shared" si="18"/>
        <v>-31.222705025021966</v>
      </c>
      <c r="H172" s="22">
        <f t="shared" si="19"/>
        <v>-25.99697338044507</v>
      </c>
    </row>
    <row r="173" spans="1:8" ht="12.75">
      <c r="A173" s="23">
        <f t="shared" si="16"/>
        <v>81919.99999999978</v>
      </c>
      <c r="B173" s="21">
        <f t="shared" si="17"/>
        <v>2.593644305056575E-07</v>
      </c>
      <c r="C173" s="21">
        <f t="shared" si="15"/>
        <v>64.27994026051348</v>
      </c>
      <c r="D173" s="21">
        <f t="shared" si="15"/>
        <v>31.735534749147067</v>
      </c>
      <c r="E173" s="21">
        <f t="shared" si="15"/>
        <v>44.280100739235024</v>
      </c>
      <c r="F173" s="21">
        <f t="shared" si="15"/>
        <v>5.6574518933614035</v>
      </c>
      <c r="G173" s="22">
        <f t="shared" si="18"/>
        <v>-31.824355851383558</v>
      </c>
      <c r="H173" s="22">
        <f t="shared" si="19"/>
        <v>-26.168637409192655</v>
      </c>
    </row>
    <row r="174" spans="1:8" ht="12.75">
      <c r="A174" s="23">
        <f t="shared" si="16"/>
        <v>87799.6820509729</v>
      </c>
      <c r="B174" s="21">
        <f t="shared" si="17"/>
        <v>2.2578985281716816E-07</v>
      </c>
      <c r="C174" s="21">
        <f t="shared" si="15"/>
        <v>64.88200004200039</v>
      </c>
      <c r="D174" s="21">
        <f t="shared" si="15"/>
        <v>32.33721773309514</v>
      </c>
      <c r="E174" s="21">
        <f t="shared" si="15"/>
        <v>44.882139747182705</v>
      </c>
      <c r="F174" s="21">
        <f t="shared" si="15"/>
        <v>6.103953293815981</v>
      </c>
      <c r="G174" s="22">
        <f t="shared" si="18"/>
        <v>-32.42605960887085</v>
      </c>
      <c r="H174" s="22">
        <f t="shared" si="19"/>
        <v>-26.323839766225362</v>
      </c>
    </row>
    <row r="175" spans="1:8" ht="12.75">
      <c r="A175" s="23">
        <f>A174*(2^0.1)</f>
        <v>94101.36924135685</v>
      </c>
      <c r="B175" s="21">
        <f t="shared" si="17"/>
        <v>1.9656148410142864E-07</v>
      </c>
      <c r="C175" s="21">
        <f t="shared" si="15"/>
        <v>65.4840598506511</v>
      </c>
      <c r="D175" s="21">
        <f t="shared" si="15"/>
        <v>32.93894949378702</v>
      </c>
      <c r="E175" s="21">
        <f t="shared" si="15"/>
        <v>45.484181471334594</v>
      </c>
      <c r="F175" s="21">
        <f t="shared" si="15"/>
        <v>6.565901094931346</v>
      </c>
      <c r="G175" s="22">
        <f>E175-C175-D175-G$29</f>
        <v>-33.027809454061554</v>
      </c>
      <c r="H175" s="22">
        <f>E175+F175-C175-D175-H$29</f>
        <v>-26.4636418103007</v>
      </c>
    </row>
  </sheetData>
  <printOptions/>
  <pageMargins left="0.7875" right="0.7875" top="0.7875" bottom="0.7875" header="0.5" footer="0.5"/>
  <pageSetup cellComments="asDisplayed" horizontalDpi="300" verticalDpi="300" orientation="portrait" paperSize="9"/>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B1" sqref="B1"/>
    </sheetView>
  </sheetViews>
  <sheetFormatPr defaultColWidth="11.28125" defaultRowHeight="12.75"/>
  <cols>
    <col min="1" max="1" width="137.28125" style="0" customWidth="1"/>
  </cols>
  <sheetData/>
  <sheetProtection sheet="1" objects="1" scenarios="1"/>
  <printOptions/>
  <pageMargins left="0.7875" right="0.7875" top="0.7875" bottom="0.7875" header="0.5" footer="0.5"/>
  <pageSetup cellComments="asDisplayed" horizontalDpi="300" verticalDpi="300" orientation="portrait" paperSize="9"/>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C191"/>
  <sheetViews>
    <sheetView workbookViewId="0" topLeftCell="A1">
      <selection activeCell="A4" sqref="A4:A6"/>
    </sheetView>
  </sheetViews>
  <sheetFormatPr defaultColWidth="9.140625" defaultRowHeight="12.75"/>
  <cols>
    <col min="1" max="3" width="11.28125" style="0" customWidth="1"/>
    <col min="4" max="4" width="6.00390625" style="0" customWidth="1"/>
    <col min="5" max="5" width="14.7109375" style="0" customWidth="1"/>
    <col min="7" max="7" width="9.00390625" style="0" customWidth="1"/>
    <col min="11" max="11" width="11.28125" style="0" customWidth="1"/>
    <col min="12" max="12" width="8.421875" style="0" customWidth="1"/>
    <col min="13" max="16384" width="11.28125" style="0" customWidth="1"/>
  </cols>
  <sheetData>
    <row r="1" spans="1:13" ht="12.75">
      <c r="A1" s="24" t="s">
        <v>105</v>
      </c>
      <c r="F1" s="9"/>
      <c r="G1" s="9"/>
      <c r="H1" s="9"/>
      <c r="I1" s="9"/>
      <c r="J1" s="10"/>
      <c r="M1" s="11"/>
    </row>
    <row r="2" spans="1:13" ht="12.75">
      <c r="A2" s="41"/>
      <c r="C2" s="52"/>
      <c r="D2" s="9"/>
      <c r="E2" s="52"/>
      <c r="F2" s="50"/>
      <c r="G2" s="9"/>
      <c r="H2" s="9"/>
      <c r="K2" s="10"/>
      <c r="M2" s="11"/>
    </row>
    <row r="3" spans="1:13" ht="12.75">
      <c r="A3" s="53"/>
      <c r="B3" s="58" t="s">
        <v>91</v>
      </c>
      <c r="C3" s="58" t="s">
        <v>90</v>
      </c>
      <c r="D3" s="47"/>
      <c r="E3" s="70" t="s">
        <v>45</v>
      </c>
      <c r="F3" s="75">
        <v>1</v>
      </c>
      <c r="M3" s="11"/>
    </row>
    <row r="4" spans="1:13" ht="12.75">
      <c r="A4" s="54" t="s">
        <v>89</v>
      </c>
      <c r="B4" s="59">
        <v>4.7E-07</v>
      </c>
      <c r="C4" s="59">
        <v>3.6E-07</v>
      </c>
      <c r="D4" s="48"/>
      <c r="E4" s="71" t="s">
        <v>110</v>
      </c>
      <c r="F4" s="76">
        <f>1/(1/B4+1/C4)</f>
        <v>2.0385542168674696E-07</v>
      </c>
      <c r="H4" s="33"/>
      <c r="M4" s="11"/>
    </row>
    <row r="5" spans="1:13" ht="12.75">
      <c r="A5" s="43" t="s">
        <v>23</v>
      </c>
      <c r="B5" s="60">
        <v>2.2000000000000002E-08</v>
      </c>
      <c r="C5" s="64" t="s">
        <v>46</v>
      </c>
      <c r="D5" s="49"/>
      <c r="E5" s="72" t="s">
        <v>47</v>
      </c>
      <c r="F5" s="77">
        <f>B5</f>
        <v>2.2000000000000002E-08</v>
      </c>
      <c r="H5" s="9"/>
      <c r="M5" s="11"/>
    </row>
    <row r="6" spans="1:13" ht="12.75">
      <c r="A6" s="43" t="s">
        <v>25</v>
      </c>
      <c r="B6" s="60">
        <v>2.2000000000000003E-09</v>
      </c>
      <c r="C6" s="34" t="s">
        <v>48</v>
      </c>
      <c r="E6" s="72" t="s">
        <v>49</v>
      </c>
      <c r="F6" s="77">
        <f>B7+B6</f>
        <v>2.3660000000000003E-09</v>
      </c>
      <c r="H6" s="9"/>
      <c r="M6" s="11"/>
    </row>
    <row r="7" spans="1:13" ht="12.75">
      <c r="A7" s="55" t="s">
        <v>27</v>
      </c>
      <c r="B7" s="60">
        <v>1.66E-10</v>
      </c>
      <c r="C7" s="34" t="s">
        <v>50</v>
      </c>
      <c r="E7" s="72"/>
      <c r="F7" s="78"/>
      <c r="H7" s="9"/>
      <c r="M7" s="11"/>
    </row>
    <row r="8" spans="1:13" ht="12.75">
      <c r="A8" s="43" t="s">
        <v>28</v>
      </c>
      <c r="B8" s="61">
        <v>44117.68</v>
      </c>
      <c r="C8" s="34" t="s">
        <v>51</v>
      </c>
      <c r="E8" s="72"/>
      <c r="F8" s="78"/>
      <c r="H8" s="9"/>
      <c r="M8" s="11"/>
    </row>
    <row r="9" spans="1:13" ht="12.75">
      <c r="A9" s="43" t="s">
        <v>30</v>
      </c>
      <c r="B9" s="62">
        <v>115000</v>
      </c>
      <c r="C9" s="34" t="s">
        <v>52</v>
      </c>
      <c r="E9" s="73" t="s">
        <v>111</v>
      </c>
      <c r="F9" s="79">
        <f>B8+B9</f>
        <v>159117.68</v>
      </c>
      <c r="H9" s="9"/>
      <c r="M9" s="11"/>
    </row>
    <row r="10" spans="1:13" ht="12.75">
      <c r="A10" s="43" t="s">
        <v>31</v>
      </c>
      <c r="B10" s="62">
        <v>15000</v>
      </c>
      <c r="C10" s="34" t="s">
        <v>53</v>
      </c>
      <c r="E10" s="72" t="s">
        <v>54</v>
      </c>
      <c r="F10" s="79">
        <f>B10</f>
        <v>15000</v>
      </c>
      <c r="H10" s="9"/>
      <c r="M10" s="11"/>
    </row>
    <row r="11" spans="1:13" ht="12.75">
      <c r="A11" s="43" t="s">
        <v>32</v>
      </c>
      <c r="B11" s="62">
        <v>22000</v>
      </c>
      <c r="C11" s="64" t="s">
        <v>55</v>
      </c>
      <c r="D11" s="49"/>
      <c r="E11" s="72" t="s">
        <v>56</v>
      </c>
      <c r="F11" s="79">
        <f>B11</f>
        <v>22000</v>
      </c>
      <c r="H11" s="9"/>
      <c r="M11" s="11"/>
    </row>
    <row r="12" spans="1:13" ht="12.75">
      <c r="A12" s="43" t="s">
        <v>33</v>
      </c>
      <c r="B12" s="62">
        <v>680</v>
      </c>
      <c r="C12" s="64" t="s">
        <v>57</v>
      </c>
      <c r="D12" s="49"/>
      <c r="E12" s="72" t="s">
        <v>58</v>
      </c>
      <c r="F12" s="79">
        <f>B12</f>
        <v>680</v>
      </c>
      <c r="H12" s="9"/>
      <c r="M12" s="11"/>
    </row>
    <row r="13" spans="1:13" ht="12.75">
      <c r="A13" s="45" t="s">
        <v>34</v>
      </c>
      <c r="B13" s="63">
        <v>2000000</v>
      </c>
      <c r="C13" s="35"/>
      <c r="E13" s="74" t="s">
        <v>59</v>
      </c>
      <c r="F13" s="80">
        <f>B13</f>
        <v>2000000</v>
      </c>
      <c r="H13" s="9"/>
      <c r="M13" s="11"/>
    </row>
    <row r="14" spans="3:13" ht="12.75">
      <c r="C14" s="42"/>
      <c r="D14" s="9"/>
      <c r="E14" s="42"/>
      <c r="G14" s="9"/>
      <c r="H14" s="9"/>
      <c r="I14" s="9"/>
      <c r="J14" s="10"/>
      <c r="M14" s="11"/>
    </row>
    <row r="15" spans="1:13" ht="12.75">
      <c r="A15" s="13"/>
      <c r="B15" s="10"/>
      <c r="C15" s="9"/>
      <c r="D15" s="9"/>
      <c r="E15" s="9"/>
      <c r="F15" s="9"/>
      <c r="G15" s="9"/>
      <c r="H15" s="9"/>
      <c r="I15" s="9"/>
      <c r="J15" s="10"/>
      <c r="K15" s="8"/>
      <c r="M15" s="11"/>
    </row>
    <row r="40" s="25" customFormat="1" ht="12.75"/>
    <row r="45" spans="14:27" ht="12.75">
      <c r="N45" s="13">
        <v>1000</v>
      </c>
      <c r="O45" s="10">
        <f>(2*PI()*N45)</f>
        <v>6283.185307179586</v>
      </c>
      <c r="P45" s="9">
        <f>-O45*O45*$F$4*($F$6*$F$12+$F$5*$F$10)</f>
        <v>-0.002668751612934084</v>
      </c>
      <c r="Q45" s="9">
        <f>O45*$F$4*(1-O45*O45*$F$5*$F$6*$F$10*$F$12)</f>
        <v>0.001254014161514097</v>
      </c>
      <c r="R45" s="9">
        <f>-O45*O45*(($F$5*$F$6*($F$10+$F$11+$F$12))+$F$4*($F$5*$F$10+$F$6*$F$11+$F$6*$F$12+$F$5*$F$9+$F$6*$F$9))</f>
        <v>-0.03436725167575315</v>
      </c>
      <c r="S45" s="9">
        <f>O45*($F$4-$F$4*O45*O45*$F$5*$F$6*($F$10*$F$12+$F$10*$F$11+$F$9*$F$10+$F$9*$F$11+$F$9*$F$12)+$F$5+$F$6)</f>
        <v>-0.015242262346177126</v>
      </c>
      <c r="T45" s="9">
        <f>P45*P45+Q45*Q45</f>
        <v>8.69478668881618E-06</v>
      </c>
      <c r="U45" s="10">
        <f>R45*R45+S45*S45</f>
        <v>0.0014134345491742467</v>
      </c>
      <c r="V45" s="8">
        <f>10*LOG10(T45)</f>
        <v>-50.60741068176097</v>
      </c>
      <c r="W45" s="8">
        <f>10*LOG10(U45)</f>
        <v>-28.49724297249153</v>
      </c>
      <c r="X45" s="8">
        <f>V45-W45</f>
        <v>-22.110167709269437</v>
      </c>
      <c r="Y45" s="8">
        <f>X45-$X$45</f>
        <v>0</v>
      </c>
      <c r="AA45" s="11"/>
    </row>
    <row r="46" spans="14:27" ht="12.75">
      <c r="N46" s="13"/>
      <c r="O46" s="10"/>
      <c r="P46" s="9"/>
      <c r="Q46" s="9"/>
      <c r="R46" s="9"/>
      <c r="S46" s="9"/>
      <c r="T46" s="9"/>
      <c r="U46" s="10"/>
      <c r="V46" s="8"/>
      <c r="W46" s="8"/>
      <c r="X46" s="8"/>
      <c r="Y46" s="8"/>
      <c r="AA46" s="11"/>
    </row>
    <row r="47" spans="14:28" ht="12.75">
      <c r="N47" s="13"/>
      <c r="O47" s="10"/>
      <c r="P47" s="9"/>
      <c r="Q47" s="9"/>
      <c r="R47" s="9"/>
      <c r="S47" s="9"/>
      <c r="T47" s="9"/>
      <c r="U47" s="10"/>
      <c r="Y47" t="s">
        <v>60</v>
      </c>
      <c r="AA47" s="11" t="s">
        <v>61</v>
      </c>
      <c r="AB47" t="s">
        <v>92</v>
      </c>
    </row>
    <row r="48" spans="14:28" ht="12.75">
      <c r="N48" s="24" t="s">
        <v>37</v>
      </c>
      <c r="O48" s="25" t="s">
        <v>38</v>
      </c>
      <c r="P48" s="26" t="s">
        <v>107</v>
      </c>
      <c r="Q48" s="26" t="s">
        <v>108</v>
      </c>
      <c r="R48" s="26" t="s">
        <v>106</v>
      </c>
      <c r="S48" s="26" t="s">
        <v>109</v>
      </c>
      <c r="T48" s="26" t="s">
        <v>39</v>
      </c>
      <c r="U48" s="27" t="s">
        <v>40</v>
      </c>
      <c r="V48" s="25" t="s">
        <v>41</v>
      </c>
      <c r="W48" s="24" t="s">
        <v>42</v>
      </c>
      <c r="X48" s="25" t="s">
        <v>43</v>
      </c>
      <c r="Y48" s="25" t="s">
        <v>44</v>
      </c>
      <c r="Z48" s="25"/>
      <c r="AA48" s="30" t="s">
        <v>93</v>
      </c>
      <c r="AB48" s="31" t="s">
        <v>71</v>
      </c>
    </row>
    <row r="49" spans="14:28" ht="12.75">
      <c r="N49" s="13">
        <v>5</v>
      </c>
      <c r="O49" s="10">
        <f aca="true" t="shared" si="0" ref="O49:O81">(2*PI()*N49)</f>
        <v>31.41592653589793</v>
      </c>
      <c r="P49" s="9">
        <f aca="true" t="shared" si="1" ref="P49:P80">-O49*O49*$F$4*($F$6*$F$12+$F$5*$F$10)</f>
        <v>-6.671879032335211E-08</v>
      </c>
      <c r="Q49" s="9">
        <f aca="true" t="shared" si="2" ref="Q49:Q80">O49*$F$4*(1-O49*O49*$F$5*$F$6*$F$10*$F$12)</f>
        <v>6.404303595751734E-06</v>
      </c>
      <c r="R49" s="9">
        <f aca="true" t="shared" si="3" ref="R49:R80">-O49*O49*(($F$5*$F$6*($F$10+$F$11+$F$12))+$F$4*($F$5*$F$10+$F$6*$F$11+$F$6*$F$12+$F$5*$F$9+$F$6*$F$9))</f>
        <v>-8.591812918938288E-07</v>
      </c>
      <c r="S49" s="9">
        <f aca="true" t="shared" si="4" ref="S49:S80">O49*($F$4-$F$4*O49*O49*$F$5*$F$6*($F$10*$F$12+$F$10*$F$11+$F$9*$F$10+$F$9*$F$11+$F$9*$F$12)+$F$5+$F$6)</f>
        <v>7.167702890150313E-06</v>
      </c>
      <c r="T49" s="9">
        <f>P49*P49+Q49*Q49</f>
        <v>4.1019555943540807E-11</v>
      </c>
      <c r="U49" s="10">
        <f>R49*R49+S49*S49</f>
        <v>5.21141572138095E-11</v>
      </c>
      <c r="V49" s="8">
        <f>10*LOG10(T49)</f>
        <v>-103.87009045389246</v>
      </c>
      <c r="W49" s="8">
        <f>10*LOG10(U49)</f>
        <v>-102.83044281218119</v>
      </c>
      <c r="X49" s="8">
        <f>V49-W49</f>
        <v>-1.0396476417112694</v>
      </c>
      <c r="Y49" s="8">
        <f aca="true" t="shared" si="5" ref="Y49:Y80">X49-$X$45</f>
        <v>21.070520067558167</v>
      </c>
      <c r="AA49" s="21">
        <f>Y49-riaa_curve!G33</f>
        <v>1.2022223860357784</v>
      </c>
      <c r="AB49" s="21">
        <f>Y49-riaa_curve!H33</f>
        <v>1.2039557938613434</v>
      </c>
    </row>
    <row r="50" spans="14:28" ht="12.75">
      <c r="N50" s="13">
        <v>5.35886731268147</v>
      </c>
      <c r="O50" s="10">
        <f t="shared" si="0"/>
        <v>33.670756362165164</v>
      </c>
      <c r="P50" s="9">
        <f t="shared" si="1"/>
        <v>-7.663976469182678E-08</v>
      </c>
      <c r="Q50" s="9">
        <f t="shared" si="2"/>
        <v>6.863962105118926E-06</v>
      </c>
      <c r="R50" s="9">
        <f t="shared" si="3"/>
        <v>-9.869401366426699E-07</v>
      </c>
      <c r="S50" s="9">
        <f t="shared" si="4"/>
        <v>7.681821531881533E-06</v>
      </c>
      <c r="T50" s="9">
        <f aca="true" t="shared" si="6" ref="T50:T81">P50*P50+Q50*Q50</f>
        <v>4.711984943404066E-11</v>
      </c>
      <c r="U50" s="10">
        <f aca="true" t="shared" si="7" ref="U50:U81">R50*R50+S50*S50</f>
        <v>5.998443288099499E-11</v>
      </c>
      <c r="V50" s="8">
        <f aca="true" t="shared" si="8" ref="V50:V81">10*LOG10(T50)</f>
        <v>-103.26796105955881</v>
      </c>
      <c r="W50" s="8">
        <f aca="true" t="shared" si="9" ref="W50:W81">10*LOG10(U50)</f>
        <v>-102.21961442800941</v>
      </c>
      <c r="X50" s="8">
        <f aca="true" t="shared" si="10" ref="X50:X81">V50-W50</f>
        <v>-1.048346631549407</v>
      </c>
      <c r="Y50" s="8">
        <f t="shared" si="5"/>
        <v>21.06182107772003</v>
      </c>
      <c r="AA50" s="21">
        <f>Y50-riaa_curve!G34</f>
        <v>1.1998394785839572</v>
      </c>
      <c r="AB50" s="21">
        <f>Y50-riaa_curve!H34</f>
        <v>1.2015728799642034</v>
      </c>
    </row>
    <row r="51" spans="14:28" ht="12.75">
      <c r="N51" s="13">
        <v>5.74349177498517</v>
      </c>
      <c r="O51" s="10">
        <f t="shared" si="0"/>
        <v>36.08742313249362</v>
      </c>
      <c r="P51" s="9">
        <f t="shared" si="1"/>
        <v>-8.803597162886097E-08</v>
      </c>
      <c r="Q51" s="9">
        <f t="shared" si="2"/>
        <v>7.356611773663868E-06</v>
      </c>
      <c r="R51" s="9">
        <f t="shared" si="3"/>
        <v>-1.13369651144198E-06</v>
      </c>
      <c r="S51" s="9">
        <f t="shared" si="4"/>
        <v>8.232763459476062E-06</v>
      </c>
      <c r="T51" s="9">
        <f t="shared" si="6"/>
        <v>5.412748712071049E-11</v>
      </c>
      <c r="U51" s="10">
        <f t="shared" si="7"/>
        <v>6.906366195973997E-11</v>
      </c>
      <c r="V51" s="8">
        <f t="shared" si="8"/>
        <v>-102.6658213464811</v>
      </c>
      <c r="W51" s="8">
        <f t="shared" si="9"/>
        <v>-101.60750397797392</v>
      </c>
      <c r="X51" s="8">
        <f t="shared" si="10"/>
        <v>-1.0583173685071756</v>
      </c>
      <c r="Y51" s="8">
        <f t="shared" si="5"/>
        <v>21.05185034076226</v>
      </c>
      <c r="AA51" s="21">
        <f>Y51-riaa_curve!G35</f>
        <v>1.1971124792726187</v>
      </c>
      <c r="AB51" s="21">
        <f>Y51-riaa_curve!H35</f>
        <v>1.1988458732491374</v>
      </c>
    </row>
    <row r="52" spans="14:28" ht="12.75">
      <c r="N52" s="13">
        <v>6.15572206672458</v>
      </c>
      <c r="O52" s="10">
        <f t="shared" si="0"/>
        <v>38.67754244472504</v>
      </c>
      <c r="P52" s="9">
        <f t="shared" si="1"/>
        <v>-1.011267757906384E-07</v>
      </c>
      <c r="Q52" s="9">
        <f t="shared" si="2"/>
        <v>7.884620462538921E-06</v>
      </c>
      <c r="R52" s="9">
        <f t="shared" si="3"/>
        <v>-1.302275317759282E-06</v>
      </c>
      <c r="S52" s="9">
        <f t="shared" si="4"/>
        <v>8.823153858265841E-06</v>
      </c>
      <c r="T52" s="9">
        <f t="shared" si="6"/>
        <v>6.217746646306927E-11</v>
      </c>
      <c r="U52" s="10">
        <f t="shared" si="7"/>
        <v>7.954396500987643E-11</v>
      </c>
      <c r="V52" s="8">
        <f t="shared" si="8"/>
        <v>-102.0636697807162</v>
      </c>
      <c r="W52" s="8">
        <f t="shared" si="9"/>
        <v>-100.99392764632518</v>
      </c>
      <c r="X52" s="8">
        <f t="shared" si="10"/>
        <v>-1.0697421343910207</v>
      </c>
      <c r="Y52" s="8">
        <f t="shared" si="5"/>
        <v>21.040425574878416</v>
      </c>
      <c r="AA52" s="21">
        <f>Y52-riaa_curve!G36</f>
        <v>1.193993412830924</v>
      </c>
      <c r="AB52" s="21">
        <f>Y52-riaa_curve!H36</f>
        <v>1.1957267983027897</v>
      </c>
    </row>
    <row r="53" spans="14:28" ht="12.75">
      <c r="N53" s="13">
        <v>6.59753955386447</v>
      </c>
      <c r="O53" s="10">
        <f t="shared" si="0"/>
        <v>41.4535635883774</v>
      </c>
      <c r="P53" s="9">
        <f t="shared" si="1"/>
        <v>-1.1616416099686031E-07</v>
      </c>
      <c r="Q53" s="9">
        <f t="shared" si="2"/>
        <v>8.45052597588516E-06</v>
      </c>
      <c r="R53" s="9">
        <f t="shared" si="3"/>
        <v>-1.495921515263328E-06</v>
      </c>
      <c r="S53" s="9">
        <f t="shared" si="4"/>
        <v>9.455802229549971E-06</v>
      </c>
      <c r="T53" s="9">
        <f t="shared" si="6"/>
        <v>7.142488338140992E-11</v>
      </c>
      <c r="U53" s="10">
        <f t="shared" si="7"/>
        <v>9.164997698418995E-11</v>
      </c>
      <c r="V53" s="8">
        <f t="shared" si="8"/>
        <v>-101.46150460036594</v>
      </c>
      <c r="W53" s="8">
        <f t="shared" si="9"/>
        <v>-100.37867639764946</v>
      </c>
      <c r="X53" s="8">
        <f t="shared" si="10"/>
        <v>-1.0828282027164846</v>
      </c>
      <c r="Y53" s="8">
        <f t="shared" si="5"/>
        <v>21.027339506552952</v>
      </c>
      <c r="AA53" s="21">
        <f>Y53-riaa_curve!G37</f>
        <v>1.190428148395437</v>
      </c>
      <c r="AB53" s="21">
        <f>Y53-riaa_curve!H37</f>
        <v>1.1921615240980294</v>
      </c>
    </row>
    <row r="54" spans="14:28" ht="12.75">
      <c r="N54" s="13">
        <v>7.07106781186547</v>
      </c>
      <c r="O54" s="10">
        <f t="shared" si="0"/>
        <v>44.428829381583625</v>
      </c>
      <c r="P54" s="9">
        <f t="shared" si="1"/>
        <v>-1.33437580646704E-07</v>
      </c>
      <c r="Q54" s="9">
        <f t="shared" si="2"/>
        <v>9.057048256702487E-06</v>
      </c>
      <c r="R54" s="9">
        <f t="shared" si="3"/>
        <v>-1.718362583787655E-06</v>
      </c>
      <c r="S54" s="9">
        <f t="shared" si="4"/>
        <v>1.013371467127986E-05</v>
      </c>
      <c r="T54" s="9">
        <f t="shared" si="6"/>
        <v>8.20479287121664E-11</v>
      </c>
      <c r="U54" s="10">
        <f t="shared" si="7"/>
        <v>1.0564494300827404E-10</v>
      </c>
      <c r="V54" s="8">
        <f t="shared" si="8"/>
        <v>-100.85932378172508</v>
      </c>
      <c r="W54" s="8">
        <f t="shared" si="9"/>
        <v>-99.76151286838501</v>
      </c>
      <c r="X54" s="8">
        <f t="shared" si="10"/>
        <v>-1.0978109133400693</v>
      </c>
      <c r="Y54" s="8">
        <f t="shared" si="5"/>
        <v>21.012356795929367</v>
      </c>
      <c r="AA54" s="21">
        <f>Y54-riaa_curve!G38</f>
        <v>1.1863557762906538</v>
      </c>
      <c r="AB54" s="21">
        <f>Y54-riaa_curve!H38</f>
        <v>1.1880891407712895</v>
      </c>
    </row>
    <row r="55" spans="14:28" ht="12.75">
      <c r="N55" s="13">
        <v>7.57858283255199</v>
      </c>
      <c r="O55" s="10">
        <f t="shared" si="0"/>
        <v>47.61764030273412</v>
      </c>
      <c r="P55" s="9">
        <f t="shared" si="1"/>
        <v>-1.5327952938365335E-07</v>
      </c>
      <c r="Q55" s="9">
        <f t="shared" si="2"/>
        <v>9.707102457706616E-06</v>
      </c>
      <c r="R55" s="9">
        <f t="shared" si="3"/>
        <v>-1.973880273285337E-06</v>
      </c>
      <c r="S55" s="9">
        <f t="shared" si="4"/>
        <v>1.0860106820974922E-05</v>
      </c>
      <c r="T55" s="9">
        <f t="shared" si="6"/>
        <v>9.42513327385419E-11</v>
      </c>
      <c r="U55" s="10">
        <f t="shared" si="7"/>
        <v>1.21838123496251E-10</v>
      </c>
      <c r="V55" s="8">
        <f t="shared" si="8"/>
        <v>-100.25712500040979</v>
      </c>
      <c r="W55" s="8">
        <f t="shared" si="9"/>
        <v>-99.1421679845648</v>
      </c>
      <c r="X55" s="8">
        <f t="shared" si="10"/>
        <v>-1.1149570158449933</v>
      </c>
      <c r="Y55" s="8">
        <f t="shared" si="5"/>
        <v>20.995210693424443</v>
      </c>
      <c r="AA55" s="21">
        <f>Y55-riaa_curve!G39</f>
        <v>1.1817079754798598</v>
      </c>
      <c r="AB55" s="21">
        <f>Y55-riaa_curve!H39</f>
        <v>1.1834413270698612</v>
      </c>
    </row>
    <row r="56" spans="14:28" ht="12.75">
      <c r="N56" s="13">
        <v>8.12252396356235</v>
      </c>
      <c r="O56" s="10">
        <f t="shared" si="0"/>
        <v>51.03532322506905</v>
      </c>
      <c r="P56" s="9">
        <f t="shared" si="1"/>
        <v>-1.7607194325772202E-07</v>
      </c>
      <c r="Q56" s="9">
        <f t="shared" si="2"/>
        <v>1.0403812949892188E-05</v>
      </c>
      <c r="R56" s="9">
        <f t="shared" si="3"/>
        <v>-2.267393022883961E-06</v>
      </c>
      <c r="S56" s="9">
        <f t="shared" si="4"/>
        <v>1.1638417457733466E-05</v>
      </c>
      <c r="T56" s="9">
        <f t="shared" si="6"/>
        <v>1.0827032522554694E-10</v>
      </c>
      <c r="U56" s="10">
        <f t="shared" si="7"/>
        <v>1.4059383204069798E-10</v>
      </c>
      <c r="V56" s="8">
        <f t="shared" si="8"/>
        <v>-99.65490558672496</v>
      </c>
      <c r="W56" s="8">
        <f t="shared" si="9"/>
        <v>-98.52033731730471</v>
      </c>
      <c r="X56" s="8">
        <f t="shared" si="10"/>
        <v>-1.1345682694202566</v>
      </c>
      <c r="Y56" s="8">
        <f t="shared" si="5"/>
        <v>20.97559943984918</v>
      </c>
      <c r="AA56" s="21">
        <f>Y56-riaa_curve!G40</f>
        <v>1.1764083921700639</v>
      </c>
      <c r="AB56" s="21">
        <f>Y56-riaa_curve!H40</f>
        <v>1.1781417289526068</v>
      </c>
    </row>
    <row r="57" spans="14:28" ht="12.75">
      <c r="N57" s="13">
        <v>8.70550563296124</v>
      </c>
      <c r="O57" s="10">
        <f t="shared" si="0"/>
        <v>54.69830508459118</v>
      </c>
      <c r="P57" s="9">
        <f t="shared" si="1"/>
        <v>-2.0225355158127678E-07</v>
      </c>
      <c r="Q57" s="9">
        <f t="shared" si="2"/>
        <v>1.1150528336004268E-05</v>
      </c>
      <c r="R57" s="9">
        <f t="shared" si="3"/>
        <v>-2.6045506355185635E-06</v>
      </c>
      <c r="S57" s="9">
        <f t="shared" si="4"/>
        <v>1.247232274826728E-05</v>
      </c>
      <c r="T57" s="9">
        <f t="shared" si="6"/>
        <v>1.2437518867116135E-10</v>
      </c>
      <c r="U57" s="10">
        <f t="shared" si="7"/>
        <v>1.6234251874992564E-10</v>
      </c>
      <c r="V57" s="8">
        <f t="shared" si="8"/>
        <v>-99.0526624744194</v>
      </c>
      <c r="W57" s="8">
        <f t="shared" si="9"/>
        <v>-97.8956772022238</v>
      </c>
      <c r="X57" s="8">
        <f t="shared" si="10"/>
        <v>-1.1569852721956124</v>
      </c>
      <c r="Y57" s="8">
        <f t="shared" si="5"/>
        <v>20.953182437073824</v>
      </c>
      <c r="AA57" s="21">
        <f>Y57-riaa_curve!G41</f>
        <v>1.1703720579063805</v>
      </c>
      <c r="AB57" s="21">
        <f>Y57-riaa_curve!H41</f>
        <v>1.172105377679621</v>
      </c>
    </row>
    <row r="58" spans="14:28" ht="12.75">
      <c r="N58" s="13">
        <v>9.33032991536807</v>
      </c>
      <c r="O58" s="10">
        <f t="shared" si="0"/>
        <v>58.62419183537881</v>
      </c>
      <c r="P58" s="9">
        <f t="shared" si="1"/>
        <v>-2.323283219937205E-07</v>
      </c>
      <c r="Q58" s="9">
        <f t="shared" si="2"/>
        <v>1.1950837540919953E-05</v>
      </c>
      <c r="R58" s="9">
        <f t="shared" si="3"/>
        <v>-2.991843030526655E-06</v>
      </c>
      <c r="S58" s="9">
        <f t="shared" si="4"/>
        <v>1.3365751106387898E-05</v>
      </c>
      <c r="T58" s="9">
        <f t="shared" si="6"/>
        <v>1.428764943786621E-10</v>
      </c>
      <c r="U58" s="10">
        <f t="shared" si="7"/>
        <v>1.8759442735722025E-10</v>
      </c>
      <c r="V58" s="8">
        <f t="shared" si="8"/>
        <v>-98.45039214185374</v>
      </c>
      <c r="W58" s="8">
        <f t="shared" si="9"/>
        <v>-97.26780066830915</v>
      </c>
      <c r="X58" s="8">
        <f t="shared" si="10"/>
        <v>-1.1825914735445906</v>
      </c>
      <c r="Y58" s="8">
        <f t="shared" si="5"/>
        <v>20.927576235724846</v>
      </c>
      <c r="AA58" s="21">
        <f>Y58-riaa_curve!G42</f>
        <v>1.1635048851043628</v>
      </c>
      <c r="AB58" s="21">
        <f>Y58-riaa_curve!H42</f>
        <v>1.1652381853390494</v>
      </c>
    </row>
    <row r="59" spans="14:28" ht="12.75">
      <c r="N59" s="13">
        <v>10</v>
      </c>
      <c r="O59" s="10">
        <f t="shared" si="0"/>
        <v>62.83185307179586</v>
      </c>
      <c r="P59" s="9">
        <f t="shared" si="1"/>
        <v>-2.6687516129340844E-07</v>
      </c>
      <c r="Q59" s="9">
        <f t="shared" si="2"/>
        <v>1.2808587056081856E-05</v>
      </c>
      <c r="R59" s="9">
        <f t="shared" si="3"/>
        <v>-3.4367251675753153E-06</v>
      </c>
      <c r="S59" s="9">
        <f t="shared" si="4"/>
        <v>1.432289861542835E-05</v>
      </c>
      <c r="T59" s="9">
        <f t="shared" si="6"/>
        <v>1.6413112472494304E-10</v>
      </c>
      <c r="U59" s="10">
        <f t="shared" si="7"/>
        <v>2.1695650462528492E-10</v>
      </c>
      <c r="V59" s="8">
        <f t="shared" si="8"/>
        <v>-97.84809054446312</v>
      </c>
      <c r="W59" s="8">
        <f t="shared" si="9"/>
        <v>-96.63627324651983</v>
      </c>
      <c r="X59" s="8">
        <f t="shared" si="10"/>
        <v>-1.2118172979432842</v>
      </c>
      <c r="Y59" s="8">
        <f t="shared" si="5"/>
        <v>20.898350411326152</v>
      </c>
      <c r="AA59" s="21">
        <f>Y59-riaa_curve!G43</f>
        <v>1.1557032894259862</v>
      </c>
      <c r="AB59" s="21">
        <f>Y59-riaa_curve!H43</f>
        <v>1.1574365672167666</v>
      </c>
    </row>
    <row r="60" spans="14:29" ht="12.75">
      <c r="N60" s="13">
        <v>10.7177346253629</v>
      </c>
      <c r="O60" s="10">
        <f t="shared" si="0"/>
        <v>67.34151272433007</v>
      </c>
      <c r="P60" s="9">
        <f t="shared" si="1"/>
        <v>-3.065590587673048E-07</v>
      </c>
      <c r="Q60" s="9">
        <f t="shared" si="2"/>
        <v>1.372789942062597E-05</v>
      </c>
      <c r="R60" s="9">
        <f t="shared" si="3"/>
        <v>-3.947760546570651E-06</v>
      </c>
      <c r="S60" s="9">
        <f t="shared" si="4"/>
        <v>1.534824493760372E-05</v>
      </c>
      <c r="T60" s="9">
        <f t="shared" si="6"/>
        <v>1.8854920095933516E-10</v>
      </c>
      <c r="U60" s="10">
        <f t="shared" si="7"/>
        <v>2.51153435997738E-10</v>
      </c>
      <c r="V60" s="8">
        <f t="shared" si="8"/>
        <v>-97.2457530372342</v>
      </c>
      <c r="W60" s="8">
        <f t="shared" si="9"/>
        <v>-96.00060875937044</v>
      </c>
      <c r="X60" s="8">
        <f t="shared" si="10"/>
        <v>-1.2451442778637585</v>
      </c>
      <c r="Y60" s="8">
        <f t="shared" si="5"/>
        <v>20.865023431405678</v>
      </c>
      <c r="AA60" s="21">
        <f>Y60-riaa_curve!G44</f>
        <v>1.1468540016313291</v>
      </c>
      <c r="AB60" s="21">
        <f>Y60-riaa_curve!H44</f>
        <v>1.1485872536408337</v>
      </c>
      <c r="AC60" s="25"/>
    </row>
    <row r="61" spans="14:28" ht="12.75">
      <c r="N61" s="13">
        <v>11.4869835499703</v>
      </c>
      <c r="O61" s="10">
        <f t="shared" si="0"/>
        <v>72.174846264987</v>
      </c>
      <c r="P61" s="9">
        <f t="shared" si="1"/>
        <v>-3.5214388651544146E-07</v>
      </c>
      <c r="Q61" s="9">
        <f t="shared" si="2"/>
        <v>1.4713193027735576E-05</v>
      </c>
      <c r="R61" s="9">
        <f t="shared" si="3"/>
        <v>-4.53478604576789E-06</v>
      </c>
      <c r="S61" s="9">
        <f t="shared" si="4"/>
        <v>1.6446569601955082E-05</v>
      </c>
      <c r="T61" s="9">
        <f t="shared" si="6"/>
        <v>2.1660205438821697E-10</v>
      </c>
      <c r="U61" s="10">
        <f t="shared" si="7"/>
        <v>2.910539361528441E-10</v>
      </c>
      <c r="V61" s="8">
        <f t="shared" si="8"/>
        <v>-96.64337428572955</v>
      </c>
      <c r="W61" s="8">
        <f t="shared" si="9"/>
        <v>-95.3602652303122</v>
      </c>
      <c r="X61" s="8">
        <f t="shared" si="10"/>
        <v>-1.2831090554173556</v>
      </c>
      <c r="Y61" s="8">
        <f t="shared" si="5"/>
        <v>20.82705865385208</v>
      </c>
      <c r="AA61" s="21">
        <f>Y61-riaa_curve!G45</f>
        <v>1.1368341461945235</v>
      </c>
      <c r="AB61" s="21">
        <f>Y61-riaa_curve!H45</f>
        <v>1.1385673685891184</v>
      </c>
    </row>
    <row r="62" spans="14:28" ht="12.75">
      <c r="N62" s="13">
        <v>12.3114441334492</v>
      </c>
      <c r="O62" s="10">
        <f t="shared" si="0"/>
        <v>77.35508488945032</v>
      </c>
      <c r="P62" s="9">
        <f t="shared" si="1"/>
        <v>-4.0450710316255614E-07</v>
      </c>
      <c r="Q62" s="9">
        <f t="shared" si="2"/>
        <v>1.5769203351052567E-05</v>
      </c>
      <c r="R62" s="9">
        <f t="shared" si="3"/>
        <v>-5.20910127103716E-06</v>
      </c>
      <c r="S62" s="9">
        <f t="shared" si="4"/>
        <v>1.7622968521618884E-05</v>
      </c>
      <c r="T62" s="9">
        <f t="shared" si="6"/>
        <v>2.488314003233565E-10</v>
      </c>
      <c r="U62" s="10">
        <f t="shared" si="7"/>
        <v>3.37703755565891E-10</v>
      </c>
      <c r="V62" s="8">
        <f t="shared" si="8"/>
        <v>-96.04094816398045</v>
      </c>
      <c r="W62" s="8">
        <f t="shared" si="9"/>
        <v>-94.71464109597122</v>
      </c>
      <c r="X62" s="8">
        <f t="shared" si="10"/>
        <v>-1.3263070680092284</v>
      </c>
      <c r="Y62" s="8">
        <f t="shared" si="5"/>
        <v>20.78386064126021</v>
      </c>
      <c r="AA62" s="21">
        <f>Y62-riaa_curve!G46</f>
        <v>1.125511679342548</v>
      </c>
      <c r="AB62" s="21">
        <f>Y62-riaa_curve!H46</f>
        <v>1.1272448677185416</v>
      </c>
    </row>
    <row r="63" spans="14:28" ht="12.75">
      <c r="N63" s="13">
        <v>13.1950791077289</v>
      </c>
      <c r="O63" s="10">
        <f t="shared" si="0"/>
        <v>82.90712717675454</v>
      </c>
      <c r="P63" s="9">
        <f t="shared" si="1"/>
        <v>-4.646566439874383E-07</v>
      </c>
      <c r="Q63" s="9">
        <f t="shared" si="2"/>
        <v>1.69010056927189E-05</v>
      </c>
      <c r="R63" s="9">
        <f t="shared" si="3"/>
        <v>-5.983686061053275E-06</v>
      </c>
      <c r="S63" s="9">
        <f t="shared" si="4"/>
        <v>1.8882870539670962E-05</v>
      </c>
      <c r="T63" s="9">
        <f t="shared" si="6"/>
        <v>2.858598992221183E-10</v>
      </c>
      <c r="U63" s="10">
        <f t="shared" si="7"/>
        <v>3.923672986952168E-10</v>
      </c>
      <c r="V63" s="8">
        <f t="shared" si="8"/>
        <v>-95.43846763732722</v>
      </c>
      <c r="W63" s="8">
        <f t="shared" si="9"/>
        <v>-94.06307195451174</v>
      </c>
      <c r="X63" s="8">
        <f t="shared" si="10"/>
        <v>-1.3753956828154799</v>
      </c>
      <c r="Y63" s="8">
        <f t="shared" si="5"/>
        <v>20.734772026453957</v>
      </c>
      <c r="AA63" s="21">
        <f>Y63-riaa_curve!G47</f>
        <v>1.1127462939953539</v>
      </c>
      <c r="AB63" s="21">
        <f>Y63-riaa_curve!H47</f>
        <v>1.1144794432942398</v>
      </c>
    </row>
    <row r="64" spans="14:28" ht="12.75">
      <c r="N64" s="13">
        <v>14.1421356237309</v>
      </c>
      <c r="O64" s="10">
        <f t="shared" si="0"/>
        <v>88.857658763167</v>
      </c>
      <c r="P64" s="9">
        <f t="shared" si="1"/>
        <v>-5.33750322586813E-07</v>
      </c>
      <c r="Q64" s="9">
        <f t="shared" si="2"/>
        <v>1.8114039561832264E-05</v>
      </c>
      <c r="R64" s="9">
        <f t="shared" si="3"/>
        <v>-6.87345033515058E-06</v>
      </c>
      <c r="S64" s="9">
        <f t="shared" si="4"/>
        <v>2.023205373818124E-05</v>
      </c>
      <c r="T64" s="9">
        <f t="shared" si="6"/>
        <v>3.2840331865448597E-10</v>
      </c>
      <c r="U64" s="10">
        <f t="shared" si="7"/>
        <v>4.5658031797443513E-10</v>
      </c>
      <c r="V64" s="8">
        <f t="shared" si="8"/>
        <v>-94.83592462800928</v>
      </c>
      <c r="W64" s="8">
        <f t="shared" si="9"/>
        <v>-93.40482813781678</v>
      </c>
      <c r="X64" s="8">
        <f t="shared" si="10"/>
        <v>-1.4310964901925018</v>
      </c>
      <c r="Y64" s="8">
        <f t="shared" si="5"/>
        <v>20.679071219076935</v>
      </c>
      <c r="AA64" s="21">
        <f>Y64-riaa_curve!G48</f>
        <v>1.0983909114105934</v>
      </c>
      <c r="AB64" s="21">
        <f>Y64-riaa_curve!H48</f>
        <v>1.1001240158216703</v>
      </c>
    </row>
    <row r="65" spans="14:28" ht="12.75">
      <c r="N65" s="13">
        <v>15.157165665104</v>
      </c>
      <c r="O65" s="10">
        <f t="shared" si="0"/>
        <v>95.23528060546835</v>
      </c>
      <c r="P65" s="9">
        <f t="shared" si="1"/>
        <v>-6.131181175346148E-07</v>
      </c>
      <c r="Q65" s="9">
        <f t="shared" si="2"/>
        <v>1.9414134799802743E-05</v>
      </c>
      <c r="R65" s="9">
        <f t="shared" si="3"/>
        <v>-7.895521093141367E-06</v>
      </c>
      <c r="S65" s="9">
        <f t="shared" si="4"/>
        <v>2.1676661164250675E-05</v>
      </c>
      <c r="T65" s="9">
        <f t="shared" si="6"/>
        <v>3.772845438509611E-10</v>
      </c>
      <c r="U65" s="10">
        <f t="shared" si="7"/>
        <v>5.322168925619736E-10</v>
      </c>
      <c r="V65" s="8">
        <f t="shared" si="8"/>
        <v>-94.23330986099646</v>
      </c>
      <c r="W65" s="8">
        <f t="shared" si="9"/>
        <v>-92.73911345060802</v>
      </c>
      <c r="X65" s="8">
        <f t="shared" si="10"/>
        <v>-1.4941964103884402</v>
      </c>
      <c r="Y65" s="8">
        <f t="shared" si="5"/>
        <v>20.615971298880996</v>
      </c>
      <c r="AA65" s="21">
        <f>Y65-riaa_curve!G49</f>
        <v>1.0822938863719962</v>
      </c>
      <c r="AB65" s="21">
        <f>Y65-riaa_curve!H49</f>
        <v>1.084026939220518</v>
      </c>
    </row>
    <row r="66" spans="14:28" ht="12.75">
      <c r="N66" s="13">
        <v>16.2450479271247</v>
      </c>
      <c r="O66" s="10">
        <f t="shared" si="0"/>
        <v>102.0706464501381</v>
      </c>
      <c r="P66" s="9">
        <f t="shared" si="1"/>
        <v>-7.042877730308881E-07</v>
      </c>
      <c r="Q66" s="9">
        <f t="shared" si="2"/>
        <v>2.080753957734221E-05</v>
      </c>
      <c r="R66" s="9">
        <f t="shared" si="3"/>
        <v>-9.069572091535844E-06</v>
      </c>
      <c r="S66" s="9">
        <f t="shared" si="4"/>
        <v>2.3223215525860242E-05</v>
      </c>
      <c r="T66" s="9">
        <f t="shared" si="6"/>
        <v>4.334497245299033E-10</v>
      </c>
      <c r="U66" s="10">
        <f t="shared" si="7"/>
        <v>6.215748772841221E-10</v>
      </c>
      <c r="V66" s="8">
        <f t="shared" si="8"/>
        <v>-93.63061268719406</v>
      </c>
      <c r="W66" s="8">
        <f t="shared" si="9"/>
        <v>-92.06506547098657</v>
      </c>
      <c r="X66" s="8">
        <f t="shared" si="10"/>
        <v>-1.5655472162074915</v>
      </c>
      <c r="Y66" s="8">
        <f t="shared" si="5"/>
        <v>20.544620493061945</v>
      </c>
      <c r="AA66" s="21">
        <f>Y66-riaa_curve!G50</f>
        <v>1.0643020508149803</v>
      </c>
      <c r="AB66" s="21">
        <f>Y66-riaa_curve!H50</f>
        <v>1.0660350444336828</v>
      </c>
    </row>
    <row r="67" spans="14:28" ht="12.75">
      <c r="N67" s="13">
        <v>17.4110112659225</v>
      </c>
      <c r="O67" s="10">
        <f t="shared" si="0"/>
        <v>109.3966101691825</v>
      </c>
      <c r="P67" s="9">
        <f t="shared" si="1"/>
        <v>-8.09014206325109E-07</v>
      </c>
      <c r="Q67" s="9">
        <f t="shared" si="2"/>
        <v>2.2300950396616142E-05</v>
      </c>
      <c r="R67" s="9">
        <f t="shared" si="3"/>
        <v>-1.0418202542074278E-05</v>
      </c>
      <c r="S67" s="9">
        <f t="shared" si="4"/>
        <v>2.4878632284573346E-05</v>
      </c>
      <c r="T67" s="9">
        <f t="shared" si="6"/>
        <v>4.979868925783695E-10</v>
      </c>
      <c r="U67" s="10">
        <f t="shared" si="7"/>
        <v>7.274852885586981E-10</v>
      </c>
      <c r="V67" s="8">
        <f t="shared" si="8"/>
        <v>-93.02782088075224</v>
      </c>
      <c r="W67" s="8">
        <f t="shared" si="9"/>
        <v>-91.38175784695841</v>
      </c>
      <c r="X67" s="8">
        <f t="shared" si="10"/>
        <v>-1.646063033793837</v>
      </c>
      <c r="Y67" s="8">
        <f t="shared" si="5"/>
        <v>20.4641046754756</v>
      </c>
      <c r="AA67" s="21">
        <f>Y67-riaa_curve!G51</f>
        <v>1.0442647053342782</v>
      </c>
      <c r="AB67" s="21">
        <f>Y67-riaa_curve!H51</f>
        <v>1.0459976309157852</v>
      </c>
    </row>
    <row r="68" spans="14:28" ht="12.75">
      <c r="N68" s="13">
        <v>18.6606598307361</v>
      </c>
      <c r="O68" s="10">
        <f t="shared" si="0"/>
        <v>117.24838367075738</v>
      </c>
      <c r="P68" s="9">
        <f t="shared" si="1"/>
        <v>-9.293132879748781E-07</v>
      </c>
      <c r="Q68" s="9">
        <f t="shared" si="2"/>
        <v>2.3901544241484206E-05</v>
      </c>
      <c r="R68" s="9">
        <f t="shared" si="3"/>
        <v>-1.1967372122106569E-05</v>
      </c>
      <c r="S68" s="9">
        <f t="shared" si="4"/>
        <v>2.6650230415662703E-05</v>
      </c>
      <c r="T68" s="9">
        <f t="shared" si="6"/>
        <v>5.721474403148334E-10</v>
      </c>
      <c r="U68" s="10">
        <f t="shared" si="7"/>
        <v>8.534527767168869E-10</v>
      </c>
      <c r="V68" s="8">
        <f t="shared" si="8"/>
        <v>-92.42492040675577</v>
      </c>
      <c r="W68" s="8">
        <f t="shared" si="9"/>
        <v>-90.68820504284056</v>
      </c>
      <c r="X68" s="8">
        <f t="shared" si="10"/>
        <v>-1.7367153639152093</v>
      </c>
      <c r="Y68" s="8">
        <f t="shared" si="5"/>
        <v>20.373452345354227</v>
      </c>
      <c r="AA68" s="21">
        <f>Y68-riaa_curve!G52</f>
        <v>1.0220386340258187</v>
      </c>
      <c r="AB68" s="21">
        <f>Y68-riaa_curve!H52</f>
        <v>1.0237714814531174</v>
      </c>
    </row>
    <row r="69" spans="14:28" ht="12.75">
      <c r="N69" s="28">
        <v>20</v>
      </c>
      <c r="O69" s="27">
        <f t="shared" si="0"/>
        <v>125.66370614359172</v>
      </c>
      <c r="P69" s="26">
        <f t="shared" si="1"/>
        <v>-1.0675006451736338E-06</v>
      </c>
      <c r="Q69" s="26">
        <f t="shared" si="2"/>
        <v>2.5617013028790807E-05</v>
      </c>
      <c r="R69" s="26">
        <f t="shared" si="3"/>
        <v>-1.3746900670301261E-05</v>
      </c>
      <c r="S69" s="26">
        <f t="shared" si="4"/>
        <v>2.854573991187848E-05</v>
      </c>
      <c r="T69" s="26">
        <f t="shared" si="6"/>
        <v>6.57370914144684E-10</v>
      </c>
      <c r="U69" s="27">
        <f t="shared" si="7"/>
        <v>1.0038365451557413E-09</v>
      </c>
      <c r="V69" s="29">
        <f t="shared" si="8"/>
        <v>-91.82189515505252</v>
      </c>
      <c r="W69" s="29">
        <f t="shared" si="9"/>
        <v>-89.98336997665147</v>
      </c>
      <c r="X69" s="29">
        <f t="shared" si="10"/>
        <v>-1.8385251784010421</v>
      </c>
      <c r="Y69" s="24">
        <f t="shared" si="5"/>
        <v>20.271642530868395</v>
      </c>
      <c r="Z69" s="24"/>
      <c r="AA69" s="21">
        <f>Y69-riaa_curve!G53</f>
        <v>0.9974941607113159</v>
      </c>
      <c r="AB69" s="21">
        <f>Y69-riaa_curve!H53</f>
        <v>0.999226918363</v>
      </c>
    </row>
    <row r="70" spans="14:28" ht="12.75">
      <c r="N70" s="13">
        <v>21.4354692507258</v>
      </c>
      <c r="O70" s="10">
        <f t="shared" si="0"/>
        <v>134.68302544866015</v>
      </c>
      <c r="P70" s="9">
        <f t="shared" si="1"/>
        <v>-1.2262362350692192E-06</v>
      </c>
      <c r="Q70" s="9">
        <f t="shared" si="2"/>
        <v>2.745560052435731E-05</v>
      </c>
      <c r="R70" s="9">
        <f t="shared" si="3"/>
        <v>-1.5791042186282603E-05</v>
      </c>
      <c r="S70" s="9">
        <f t="shared" si="4"/>
        <v>3.057330486593314E-05</v>
      </c>
      <c r="T70" s="9">
        <f t="shared" si="6"/>
        <v>7.553136554572861E-10</v>
      </c>
      <c r="U70" s="10">
        <f t="shared" si="7"/>
        <v>1.1840839837542478E-09</v>
      </c>
      <c r="V70" s="8">
        <f t="shared" si="8"/>
        <v>-91.21872663540437</v>
      </c>
      <c r="W70" s="8">
        <f t="shared" si="9"/>
        <v>-89.26617493231747</v>
      </c>
      <c r="X70" s="8">
        <f t="shared" si="10"/>
        <v>-1.9525517030868969</v>
      </c>
      <c r="Y70" s="8">
        <f t="shared" si="5"/>
        <v>20.15761600618254</v>
      </c>
      <c r="AA70" s="21">
        <f>Y70-riaa_curve!G54</f>
        <v>0.970522180163119</v>
      </c>
      <c r="AB70" s="21">
        <f>Y70-riaa_curve!H54</f>
        <v>0.9722548346897071</v>
      </c>
    </row>
    <row r="71" spans="14:28" ht="12.75">
      <c r="N71" s="13">
        <v>22.9739670999407</v>
      </c>
      <c r="O71" s="10">
        <f t="shared" si="0"/>
        <v>144.34969252997462</v>
      </c>
      <c r="P71" s="9">
        <f t="shared" si="1"/>
        <v>-1.408575546061778E-06</v>
      </c>
      <c r="Q71" s="9">
        <f t="shared" si="2"/>
        <v>2.942614189873438E-05</v>
      </c>
      <c r="R71" s="9">
        <f t="shared" si="3"/>
        <v>-1.813914418307172E-05</v>
      </c>
      <c r="S71" s="9">
        <f t="shared" si="4"/>
        <v>3.274148066793441E-05</v>
      </c>
      <c r="T71" s="9">
        <f t="shared" si="6"/>
        <v>8.678819121134141E-10</v>
      </c>
      <c r="U71" s="10">
        <f t="shared" si="7"/>
        <v>1.4010331080229871E-09</v>
      </c>
      <c r="V71" s="8">
        <f t="shared" si="8"/>
        <v>-90.61539362849305</v>
      </c>
      <c r="W71" s="8">
        <f t="shared" si="9"/>
        <v>-88.53551601715084</v>
      </c>
      <c r="X71" s="8">
        <f t="shared" si="10"/>
        <v>-2.079877611342212</v>
      </c>
      <c r="Y71" s="8">
        <f t="shared" si="5"/>
        <v>20.030290097927224</v>
      </c>
      <c r="AA71" s="21">
        <f>Y71-riaa_curve!G55</f>
        <v>0.9410419857042633</v>
      </c>
      <c r="AB71" s="21">
        <f>Y71-riaa_curve!H55</f>
        <v>0.9427745217712271</v>
      </c>
    </row>
    <row r="72" spans="14:28" ht="12.75">
      <c r="N72" s="13">
        <v>24.6228882668983</v>
      </c>
      <c r="O72" s="10">
        <f t="shared" si="0"/>
        <v>154.71016977890002</v>
      </c>
      <c r="P72" s="9">
        <f t="shared" si="1"/>
        <v>-1.6180284126502117E-06</v>
      </c>
      <c r="Q72" s="9">
        <f t="shared" si="2"/>
        <v>3.1538106109902395E-05</v>
      </c>
      <c r="R72" s="9">
        <f t="shared" si="3"/>
        <v>-2.0836405084148474E-05</v>
      </c>
      <c r="S72" s="9">
        <f t="shared" si="4"/>
        <v>3.505922348393483E-05</v>
      </c>
      <c r="T72" s="9">
        <f t="shared" si="6"/>
        <v>9.972701529436062E-10</v>
      </c>
      <c r="U72" s="10">
        <f t="shared" si="7"/>
        <v>1.663304928127216E-09</v>
      </c>
      <c r="V72" s="8">
        <f t="shared" si="8"/>
        <v>-90.01187178659367</v>
      </c>
      <c r="W72" s="8">
        <f t="shared" si="9"/>
        <v>-87.79028125727301</v>
      </c>
      <c r="X72" s="8">
        <f t="shared" si="10"/>
        <v>-2.2215905293206646</v>
      </c>
      <c r="Y72" s="8">
        <f t="shared" si="5"/>
        <v>19.888577179948772</v>
      </c>
      <c r="AA72" s="21">
        <f>Y72-riaa_curve!G56</f>
        <v>0.9090095783792194</v>
      </c>
      <c r="AB72" s="21">
        <f>Y72-riaa_curve!H56</f>
        <v>0.9107419783718065</v>
      </c>
    </row>
    <row r="73" spans="14:28" ht="12.75">
      <c r="N73" s="13">
        <v>26.3901582154579</v>
      </c>
      <c r="O73" s="10">
        <f t="shared" si="0"/>
        <v>165.81425435350974</v>
      </c>
      <c r="P73" s="9">
        <f t="shared" si="1"/>
        <v>-1.8586265759497681E-06</v>
      </c>
      <c r="Q73" s="9">
        <f t="shared" si="2"/>
        <v>3.380164131302699E-05</v>
      </c>
      <c r="R73" s="9">
        <f t="shared" si="3"/>
        <v>-2.393474424421329E-05</v>
      </c>
      <c r="S73" s="9">
        <f t="shared" si="4"/>
        <v>3.753586972391069E-05</v>
      </c>
      <c r="T73" s="9">
        <f t="shared" si="6"/>
        <v>1.14600544820336E-09</v>
      </c>
      <c r="U73" s="10">
        <f t="shared" si="7"/>
        <v>1.9818134979662963E-09</v>
      </c>
      <c r="V73" s="8">
        <f t="shared" si="8"/>
        <v>-89.40813317692337</v>
      </c>
      <c r="W73" s="8">
        <f t="shared" si="9"/>
        <v>-87.02937217971407</v>
      </c>
      <c r="X73" s="8">
        <f t="shared" si="10"/>
        <v>-2.378760997209298</v>
      </c>
      <c r="Y73" s="8">
        <f t="shared" si="5"/>
        <v>19.73140671206014</v>
      </c>
      <c r="AA73" s="21">
        <f>Y73-riaa_curve!G57</f>
        <v>0.8744259931307425</v>
      </c>
      <c r="AB73" s="21">
        <f>Y73-riaa_curve!H57</f>
        <v>0.876158236814927</v>
      </c>
    </row>
    <row r="74" spans="14:28" ht="12.75">
      <c r="N74" s="13">
        <v>28.2842712474619</v>
      </c>
      <c r="O74" s="10">
        <f t="shared" si="0"/>
        <v>177.71531752633462</v>
      </c>
      <c r="P74" s="9">
        <f t="shared" si="1"/>
        <v>-2.135001290347267E-06</v>
      </c>
      <c r="Q74" s="9">
        <f t="shared" si="2"/>
        <v>3.622762351108339E-05</v>
      </c>
      <c r="R74" s="9">
        <f t="shared" si="3"/>
        <v>-2.7493801340602516E-05</v>
      </c>
      <c r="S74" s="9">
        <f t="shared" si="4"/>
        <v>4.018110264133525E-05</v>
      </c>
      <c r="T74" s="9">
        <f t="shared" si="6"/>
        <v>1.3169989357705868E-09</v>
      </c>
      <c r="U74" s="10">
        <f t="shared" si="7"/>
        <v>2.3704301216300353E-09</v>
      </c>
      <c r="V74" s="8">
        <f t="shared" si="8"/>
        <v>-88.80414575979103</v>
      </c>
      <c r="W74" s="8">
        <f t="shared" si="9"/>
        <v>-86.25172842807707</v>
      </c>
      <c r="X74" s="8">
        <f t="shared" si="10"/>
        <v>-2.5524173317139542</v>
      </c>
      <c r="Y74" s="8">
        <f t="shared" si="5"/>
        <v>19.557750377555482</v>
      </c>
      <c r="AA74" s="21">
        <f>Y74-riaa_curve!G58</f>
        <v>0.8373450320307931</v>
      </c>
      <c r="AB74" s="21">
        <f>Y74-riaa_curve!H58</f>
        <v>0.8390770961637806</v>
      </c>
    </row>
    <row r="75" spans="14:28" ht="12.75">
      <c r="N75" s="13">
        <v>30.3143313302079</v>
      </c>
      <c r="O75" s="10">
        <f t="shared" si="0"/>
        <v>190.47056121093607</v>
      </c>
      <c r="P75" s="9">
        <f t="shared" si="1"/>
        <v>-2.452472470138443E-06</v>
      </c>
      <c r="Q75" s="9">
        <f t="shared" si="2"/>
        <v>3.8827708674721295E-05</v>
      </c>
      <c r="R75" s="9">
        <f t="shared" si="3"/>
        <v>-3.158208437256526E-05</v>
      </c>
      <c r="S75" s="9">
        <f t="shared" si="4"/>
        <v>4.3004902506907665E-05</v>
      </c>
      <c r="T75" s="9">
        <f t="shared" si="6"/>
        <v>1.5136055821458143E-09</v>
      </c>
      <c r="U75" s="10">
        <f t="shared" si="7"/>
        <v>2.846849692944464E-09</v>
      </c>
      <c r="V75" s="8">
        <f t="shared" si="8"/>
        <v>-88.19987279270339</v>
      </c>
      <c r="W75" s="8">
        <f t="shared" si="9"/>
        <v>-85.45635461988286</v>
      </c>
      <c r="X75" s="8">
        <f t="shared" si="10"/>
        <v>-2.7435181728205293</v>
      </c>
      <c r="Y75" s="8">
        <f t="shared" si="5"/>
        <v>19.366649536448907</v>
      </c>
      <c r="AA75" s="21">
        <f>Y75-riaa_curve!G59</f>
        <v>0.7978796788272646</v>
      </c>
      <c r="AB75" s="21">
        <f>Y75-riaa_curve!H59</f>
        <v>0.799611536710092</v>
      </c>
    </row>
    <row r="76" spans="14:28" ht="12.75">
      <c r="N76" s="13">
        <v>32.4900958542494</v>
      </c>
      <c r="O76" s="10">
        <f t="shared" si="0"/>
        <v>204.1412929002762</v>
      </c>
      <c r="P76" s="9">
        <f t="shared" si="1"/>
        <v>-2.8171510921235524E-06</v>
      </c>
      <c r="Q76" s="9">
        <f t="shared" si="2"/>
        <v>4.1614388575147094E-05</v>
      </c>
      <c r="R76" s="9">
        <f t="shared" si="3"/>
        <v>-3.6278288366143376E-05</v>
      </c>
      <c r="S76" s="9">
        <f t="shared" si="4"/>
        <v>4.601747593486695E-05</v>
      </c>
      <c r="T76" s="9">
        <f t="shared" si="6"/>
        <v>1.7396936767591858E-09</v>
      </c>
      <c r="U76" s="10">
        <f t="shared" si="7"/>
        <v>3.4337222981931128E-09</v>
      </c>
      <c r="V76" s="8">
        <f t="shared" si="8"/>
        <v>-87.59527215053467</v>
      </c>
      <c r="W76" s="8">
        <f t="shared" si="9"/>
        <v>-84.64234831259886</v>
      </c>
      <c r="X76" s="8">
        <f t="shared" si="10"/>
        <v>-2.9529238379358134</v>
      </c>
      <c r="Y76" s="8">
        <f t="shared" si="5"/>
        <v>19.157243871333623</v>
      </c>
      <c r="AA76" s="21">
        <f>Y76-riaa_curve!G60</f>
        <v>0.7562064127954748</v>
      </c>
      <c r="AB76" s="21">
        <f>Y76-riaa_curve!H60</f>
        <v>0.7579380337590962</v>
      </c>
    </row>
    <row r="77" spans="14:28" ht="12.75">
      <c r="N77" s="13">
        <v>34.8220225318449</v>
      </c>
      <c r="O77" s="10">
        <f t="shared" si="0"/>
        <v>218.79322033836436</v>
      </c>
      <c r="P77" s="9">
        <f t="shared" si="1"/>
        <v>-3.2360568253004174E-06</v>
      </c>
      <c r="Q77" s="9">
        <f t="shared" si="2"/>
        <v>4.4601050590092806E-05</v>
      </c>
      <c r="R77" s="9">
        <f t="shared" si="3"/>
        <v>-4.167281016829688E-05</v>
      </c>
      <c r="S77" s="9">
        <f t="shared" si="4"/>
        <v>4.922915887345662E-05</v>
      </c>
      <c r="T77" s="9">
        <f t="shared" si="6"/>
        <v>1.999725777516591E-09</v>
      </c>
      <c r="U77" s="10">
        <f t="shared" si="7"/>
        <v>4.16013319071094E-09</v>
      </c>
      <c r="V77" s="8">
        <f t="shared" si="8"/>
        <v>-86.9902955507433</v>
      </c>
      <c r="W77" s="8">
        <f t="shared" si="9"/>
        <v>-83.80892764790366</v>
      </c>
      <c r="X77" s="8">
        <f t="shared" si="10"/>
        <v>-3.1813679028396393</v>
      </c>
      <c r="Y77" s="8">
        <f t="shared" si="5"/>
        <v>18.928799806429797</v>
      </c>
      <c r="AA77" s="21">
        <f>Y77-riaa_curve!G61</f>
        <v>0.7125666724676201</v>
      </c>
      <c r="AB77" s="21">
        <f>Y77-riaa_curve!H61</f>
        <v>0.7142980212825591</v>
      </c>
    </row>
    <row r="78" spans="14:28" ht="12.75">
      <c r="N78" s="13">
        <v>37.3213196614723</v>
      </c>
      <c r="O78" s="10">
        <f t="shared" si="0"/>
        <v>234.49676734151538</v>
      </c>
      <c r="P78" s="9">
        <f t="shared" si="1"/>
        <v>-3.7172531518995324E-06</v>
      </c>
      <c r="Q78" s="9">
        <f t="shared" si="2"/>
        <v>4.7802041760123314E-05</v>
      </c>
      <c r="R78" s="9">
        <f t="shared" si="3"/>
        <v>-4.786948848842653E-05</v>
      </c>
      <c r="S78" s="9">
        <f t="shared" si="4"/>
        <v>5.2650286454421245E-05</v>
      </c>
      <c r="T78" s="9">
        <f t="shared" si="6"/>
        <v>2.29885316743188E-09</v>
      </c>
      <c r="U78" s="10">
        <f t="shared" si="7"/>
        <v>5.0635405918762136E-09</v>
      </c>
      <c r="V78" s="8">
        <f t="shared" si="8"/>
        <v>-86.38488767143322</v>
      </c>
      <c r="W78" s="8">
        <f t="shared" si="9"/>
        <v>-82.9554570414865</v>
      </c>
      <c r="X78" s="8">
        <f t="shared" si="10"/>
        <v>-3.4294306299467223</v>
      </c>
      <c r="Y78" s="8">
        <f t="shared" si="5"/>
        <v>18.680737079322714</v>
      </c>
      <c r="AA78" s="21">
        <f>Y78-riaa_curve!G62</f>
        <v>0.6672648625321855</v>
      </c>
      <c r="AB78" s="21">
        <f>Y78-riaa_curve!H62</f>
        <v>0.6689958987303974</v>
      </c>
    </row>
    <row r="79" spans="14:28" ht="12.75">
      <c r="N79" s="13">
        <v>40</v>
      </c>
      <c r="O79" s="10">
        <f t="shared" si="0"/>
        <v>251.32741228718345</v>
      </c>
      <c r="P79" s="9">
        <f t="shared" si="1"/>
        <v>-4.270002580694535E-06</v>
      </c>
      <c r="Q79" s="9">
        <f t="shared" si="2"/>
        <v>5.12327373905984E-05</v>
      </c>
      <c r="R79" s="9">
        <f t="shared" si="3"/>
        <v>-5.4987602681205046E-05</v>
      </c>
      <c r="S79" s="9">
        <f t="shared" si="4"/>
        <v>5.629102127193122E-05</v>
      </c>
      <c r="T79" s="9">
        <f t="shared" si="6"/>
        <v>2.6430263025731572E-09</v>
      </c>
      <c r="U79" s="10">
        <f t="shared" si="7"/>
        <v>6.1923155244630806E-09</v>
      </c>
      <c r="V79" s="8">
        <f t="shared" si="8"/>
        <v>-85.77898514883597</v>
      </c>
      <c r="W79" s="8">
        <f t="shared" si="9"/>
        <v>-82.08146922634916</v>
      </c>
      <c r="X79" s="8">
        <f t="shared" si="10"/>
        <v>-3.697515922486815</v>
      </c>
      <c r="Y79" s="8">
        <f t="shared" si="5"/>
        <v>18.41265178678262</v>
      </c>
      <c r="AA79" s="21">
        <f>Y79-riaa_curve!G63</f>
        <v>0.620662554984122</v>
      </c>
      <c r="AB79" s="21">
        <f>Y79-riaa_curve!H63</f>
        <v>0.6223932320800394</v>
      </c>
    </row>
    <row r="80" spans="14:28" ht="12.75">
      <c r="N80" s="13">
        <v>42.8709385014517</v>
      </c>
      <c r="O80" s="10">
        <f t="shared" si="0"/>
        <v>269.3660508973209</v>
      </c>
      <c r="P80" s="9">
        <f t="shared" si="1"/>
        <v>-4.9049449402769E-06</v>
      </c>
      <c r="Q80" s="9">
        <f t="shared" si="2"/>
        <v>5.490961451355771E-05</v>
      </c>
      <c r="R80" s="9">
        <f t="shared" si="3"/>
        <v>-6.31641687451307E-05</v>
      </c>
      <c r="S80" s="9">
        <f t="shared" si="4"/>
        <v>6.0161129657672E-05</v>
      </c>
      <c r="T80" s="9">
        <f t="shared" si="6"/>
        <v>3.0391242508946552E-09</v>
      </c>
      <c r="U80" s="10">
        <f t="shared" si="7"/>
        <v>7.609073734950567E-09</v>
      </c>
      <c r="V80" s="8">
        <f t="shared" si="8"/>
        <v>-85.1725154395598</v>
      </c>
      <c r="W80" s="8">
        <f t="shared" si="9"/>
        <v>-81.18668207392813</v>
      </c>
      <c r="X80" s="8">
        <f t="shared" si="10"/>
        <v>-3.9858333656316773</v>
      </c>
      <c r="Y80" s="8">
        <f t="shared" si="5"/>
        <v>18.12433434363776</v>
      </c>
      <c r="AA80" s="21">
        <f>Y80-riaa_curve!G64</f>
        <v>0.5731688906028758</v>
      </c>
      <c r="AB80" s="21">
        <f>Y80-riaa_curve!H64</f>
        <v>0.5748991551986187</v>
      </c>
    </row>
    <row r="81" spans="14:28" ht="12.75">
      <c r="N81" s="13">
        <v>45.9479341998814</v>
      </c>
      <c r="O81" s="10">
        <f t="shared" si="0"/>
        <v>288.69938505994924</v>
      </c>
      <c r="P81" s="9">
        <f aca="true" t="shared" si="11" ref="P81:P112">-O81*O81*$F$4*($F$6*$F$12+$F$5*$F$10)</f>
        <v>-5.634302184247112E-06</v>
      </c>
      <c r="Q81" s="9">
        <f aca="true" t="shared" si="12" ref="Q81:Q112">O81*$F$4*(1-O81*O81*$F$5*$F$6*$F$10*$F$12)</f>
        <v>5.8850330543573585E-05</v>
      </c>
      <c r="R81" s="9">
        <f aca="true" t="shared" si="13" ref="R81:R112">-O81*O81*(($F$5*$F$6*($F$10+$F$11+$F$12))+$F$4*($F$5*$F$10+$F$6*$F$11+$F$6*$F$12+$F$5*$F$9+$F$6*$F$9))</f>
        <v>-7.255657673228687E-05</v>
      </c>
      <c r="S81" s="9">
        <f aca="true" t="shared" si="14" ref="S81:S112">O81*($F$4-$F$4*O81*O81*$F$5*$F$6*($F$10*$F$12+$F$10*$F$11+$F$9*$F$10+$F$9*$F$11+$F$9*$F$12)+$F$5+$F$6)</f>
        <v>6.426969304806161E-05</v>
      </c>
      <c r="T81" s="9">
        <f t="shared" si="6"/>
        <v>3.495106766191282E-09</v>
      </c>
      <c r="U81" s="10">
        <f t="shared" si="7"/>
        <v>9.395050271600292E-09</v>
      </c>
      <c r="V81" s="8">
        <f t="shared" si="8"/>
        <v>-84.5653955317738</v>
      </c>
      <c r="W81" s="8">
        <f t="shared" si="9"/>
        <v>-80.27100891708193</v>
      </c>
      <c r="X81" s="8">
        <f t="shared" si="10"/>
        <v>-4.294386614691874</v>
      </c>
      <c r="Y81" s="8">
        <f aca="true" t="shared" si="15" ref="Y81:Y112">X81-$X$45</f>
        <v>17.815781094577563</v>
      </c>
      <c r="AA81" s="21">
        <f>Y81-riaa_curve!G65</f>
        <v>0.5252275965834343</v>
      </c>
      <c r="AB81" s="21">
        <f>Y81-riaa_curve!H65</f>
        <v>0.5269573873409534</v>
      </c>
    </row>
    <row r="82" spans="14:28" ht="12.75">
      <c r="N82" s="13">
        <v>49.2457765337966</v>
      </c>
      <c r="O82" s="10">
        <f aca="true" t="shared" si="16" ref="O82:O113">(2*PI()*N82)</f>
        <v>309.42033955780005</v>
      </c>
      <c r="P82" s="9">
        <f t="shared" si="11"/>
        <v>-6.472113650600847E-06</v>
      </c>
      <c r="Q82" s="9">
        <f t="shared" si="12"/>
        <v>6.307380748218391E-05</v>
      </c>
      <c r="R82" s="9">
        <f t="shared" si="13"/>
        <v>-8.33456203365939E-05</v>
      </c>
      <c r="S82" s="9">
        <f t="shared" si="14"/>
        <v>6.862473849344729E-05</v>
      </c>
      <c r="T82" s="9">
        <f aca="true" t="shared" si="17" ref="T82:T113">P82*P82+Q82*Q82</f>
        <v>4.020193445405893E-09</v>
      </c>
      <c r="U82" s="10">
        <f aca="true" t="shared" si="18" ref="U82:U113">R82*R82+S82*S82</f>
        <v>1.165584716258568E-08</v>
      </c>
      <c r="V82" s="8">
        <f aca="true" t="shared" si="19" ref="V82:V113">10*LOG10(T82)</f>
        <v>-83.95753048843135</v>
      </c>
      <c r="W82" s="8">
        <f aca="true" t="shared" si="20" ref="W82:W113">10*LOG10(U82)</f>
        <v>-79.33456155891537</v>
      </c>
      <c r="X82" s="8">
        <f aca="true" t="shared" si="21" ref="X82:X113">V82-W82</f>
        <v>-4.622968929515977</v>
      </c>
      <c r="Y82" s="8">
        <f t="shared" si="15"/>
        <v>17.48719877975346</v>
      </c>
      <c r="AA82" s="21">
        <f>Y82-riaa_curve!G66</f>
        <v>0.477301438648027</v>
      </c>
      <c r="AB82" s="21">
        <f>Y82-riaa_curve!H66</f>
        <v>0.47903068510842317</v>
      </c>
    </row>
    <row r="83" spans="14:28" ht="12.75">
      <c r="N83" s="13">
        <v>52.7803164309157</v>
      </c>
      <c r="O83" s="10">
        <f t="shared" si="16"/>
        <v>331.6285087070188</v>
      </c>
      <c r="P83" s="9">
        <f t="shared" si="11"/>
        <v>-7.434506303799042E-06</v>
      </c>
      <c r="Q83" s="9">
        <f t="shared" si="12"/>
        <v>6.760032204676633E-05</v>
      </c>
      <c r="R83" s="9">
        <f t="shared" si="13"/>
        <v>-9.573897697685277E-05</v>
      </c>
      <c r="S83" s="9">
        <f t="shared" si="14"/>
        <v>7.323276860437015E-05</v>
      </c>
      <c r="T83" s="9">
        <f t="shared" si="17"/>
        <v>4.62507542480775E-09</v>
      </c>
      <c r="U83" s="10">
        <f t="shared" si="18"/>
        <v>1.4528990110035568E-08</v>
      </c>
      <c r="V83" s="8">
        <f t="shared" si="19"/>
        <v>-83.34881180479391</v>
      </c>
      <c r="W83" s="8">
        <f t="shared" si="20"/>
        <v>-78.37764571860369</v>
      </c>
      <c r="X83" s="8">
        <f t="shared" si="21"/>
        <v>-4.971166086190223</v>
      </c>
      <c r="Y83" s="8">
        <f t="shared" si="15"/>
        <v>17.139001623079213</v>
      </c>
      <c r="AA83" s="21">
        <f>Y83-riaa_curve!G67</f>
        <v>0.4298552515711158</v>
      </c>
      <c r="AB83" s="21">
        <f>Y83-riaa_curve!H67</f>
        <v>0.4315838727983845</v>
      </c>
    </row>
    <row r="84" spans="14:28" ht="12.75">
      <c r="N84" s="13">
        <v>56.5685424949237</v>
      </c>
      <c r="O84" s="10">
        <f t="shared" si="16"/>
        <v>355.4306350526686</v>
      </c>
      <c r="P84" s="9">
        <f t="shared" si="11"/>
        <v>-8.540005161389038E-06</v>
      </c>
      <c r="Q84" s="9">
        <f t="shared" si="12"/>
        <v>7.245160212151657E-05</v>
      </c>
      <c r="R84" s="9">
        <f t="shared" si="13"/>
        <v>-0.00010997520536240967</v>
      </c>
      <c r="S84" s="9">
        <f t="shared" si="14"/>
        <v>7.80981666024514E-05</v>
      </c>
      <c r="T84" s="9">
        <f t="shared" si="17"/>
        <v>5.322166338131096E-09</v>
      </c>
      <c r="U84" s="10">
        <f t="shared" si="18"/>
        <v>1.8193869421168437E-08</v>
      </c>
      <c r="V84" s="8">
        <f t="shared" si="19"/>
        <v>-82.73911556202599</v>
      </c>
      <c r="W84" s="8">
        <f t="shared" si="20"/>
        <v>-77.4007492657971</v>
      </c>
      <c r="X84" s="8">
        <f t="shared" si="21"/>
        <v>-5.338366296228884</v>
      </c>
      <c r="Y84" s="8">
        <f t="shared" si="15"/>
        <v>16.771801413040553</v>
      </c>
      <c r="AA84" s="21">
        <f>Y84-riaa_curve!G68</f>
        <v>0.38333887966032165</v>
      </c>
      <c r="AB84" s="21">
        <f>Y84-riaa_curve!H68</f>
        <v>0.3850667826834382</v>
      </c>
    </row>
    <row r="85" spans="14:28" ht="12.75">
      <c r="N85" s="13">
        <v>60.6286626604159</v>
      </c>
      <c r="O85" s="10">
        <f t="shared" si="16"/>
        <v>380.94112242187276</v>
      </c>
      <c r="P85" s="9">
        <f t="shared" si="11"/>
        <v>-9.809889880553806E-06</v>
      </c>
      <c r="Q85" s="9">
        <f t="shared" si="12"/>
        <v>7.765092995037016E-05</v>
      </c>
      <c r="R85" s="9">
        <f t="shared" si="13"/>
        <v>-0.00012632833749026147</v>
      </c>
      <c r="S85" s="9">
        <f t="shared" si="14"/>
        <v>8.322244644106707E-05</v>
      </c>
      <c r="T85" s="9">
        <f t="shared" si="17"/>
        <v>6.125900861625885E-09</v>
      </c>
      <c r="U85" s="10">
        <f t="shared" si="18"/>
        <v>2.2884824444689676E-08</v>
      </c>
      <c r="V85" s="8">
        <f t="shared" si="19"/>
        <v>-82.12830035867222</v>
      </c>
      <c r="W85" s="8">
        <f t="shared" si="20"/>
        <v>-76.4045241480736</v>
      </c>
      <c r="X85" s="8">
        <f t="shared" si="21"/>
        <v>-5.723776210598615</v>
      </c>
      <c r="Y85" s="8">
        <f t="shared" si="15"/>
        <v>16.38639149867082</v>
      </c>
      <c r="AA85" s="21">
        <f>Y85-riaa_curve!G69</f>
        <v>0.33817137149017285</v>
      </c>
      <c r="AB85" s="21">
        <f>Y85-riaa_curve!H69</f>
        <v>0.33989844951350534</v>
      </c>
    </row>
    <row r="86" spans="14:28" ht="12.75">
      <c r="N86" s="13">
        <v>64.9801917084988</v>
      </c>
      <c r="O86" s="10">
        <f t="shared" si="16"/>
        <v>408.2825858005524</v>
      </c>
      <c r="P86" s="9">
        <f t="shared" si="11"/>
        <v>-1.126860436849421E-05</v>
      </c>
      <c r="Q86" s="9">
        <f t="shared" si="12"/>
        <v>8.322325251399555E-05</v>
      </c>
      <c r="R86" s="9">
        <f t="shared" si="13"/>
        <v>-0.0001451131534645735</v>
      </c>
      <c r="S86" s="9">
        <f t="shared" si="14"/>
        <v>8.860331093490566E-05</v>
      </c>
      <c r="T86" s="9">
        <f t="shared" si="17"/>
        <v>7.0530912034219135E-09</v>
      </c>
      <c r="U86" s="10">
        <f t="shared" si="18"/>
        <v>2.890837401706043E-08</v>
      </c>
      <c r="V86" s="8">
        <f t="shared" si="19"/>
        <v>-81.51620500263327</v>
      </c>
      <c r="W86" s="8">
        <f t="shared" si="20"/>
        <v>-75.38976335007904</v>
      </c>
      <c r="X86" s="8">
        <f t="shared" si="21"/>
        <v>-6.1264416525542345</v>
      </c>
      <c r="Y86" s="8">
        <f t="shared" si="15"/>
        <v>15.983726056715202</v>
      </c>
      <c r="AA86" s="21">
        <f>Y86-riaa_curve!G70</f>
        <v>0.2947276084506907</v>
      </c>
      <c r="AB86" s="21">
        <f>Y86-riaa_curve!H70</f>
        <v>0.29645373879832526</v>
      </c>
    </row>
    <row r="87" spans="14:28" ht="12.75">
      <c r="N87" s="13">
        <v>69.6440450636898</v>
      </c>
      <c r="O87" s="10">
        <f t="shared" si="16"/>
        <v>437.5864406767287</v>
      </c>
      <c r="P87" s="9">
        <f t="shared" si="11"/>
        <v>-1.294422730120167E-05</v>
      </c>
      <c r="Q87" s="9">
        <f t="shared" si="12"/>
        <v>8.91952995550708E-05</v>
      </c>
      <c r="R87" s="9">
        <f t="shared" si="13"/>
        <v>-0.00016669124067318752</v>
      </c>
      <c r="S87" s="9">
        <f t="shared" si="14"/>
        <v>9.423347218139375E-05</v>
      </c>
      <c r="T87" s="9">
        <f t="shared" si="17"/>
        <v>8.123354483143988E-09</v>
      </c>
      <c r="U87" s="10">
        <f t="shared" si="18"/>
        <v>3.6665916996528034E-08</v>
      </c>
      <c r="V87" s="8">
        <f t="shared" si="19"/>
        <v>-80.90264594812643</v>
      </c>
      <c r="W87" s="8">
        <f t="shared" si="20"/>
        <v>-74.35737449041423</v>
      </c>
      <c r="X87" s="8">
        <f t="shared" si="21"/>
        <v>-6.545271457712204</v>
      </c>
      <c r="Y87" s="8">
        <f t="shared" si="15"/>
        <v>15.564896251557233</v>
      </c>
      <c r="AA87" s="21">
        <f>Y87-riaa_curve!G71</f>
        <v>0.25332823674325944</v>
      </c>
      <c r="AB87" s="21">
        <f>Y87-riaa_curve!H71</f>
        <v>0.2550532784976305</v>
      </c>
    </row>
    <row r="88" spans="14:28" ht="12.75">
      <c r="N88" s="13">
        <v>74.6426393229445</v>
      </c>
      <c r="O88" s="10">
        <f t="shared" si="16"/>
        <v>468.99353468303013</v>
      </c>
      <c r="P88" s="9">
        <f t="shared" si="11"/>
        <v>-1.486901260759809E-05</v>
      </c>
      <c r="Q88" s="9">
        <f t="shared" si="12"/>
        <v>9.559570973748473E-05</v>
      </c>
      <c r="R88" s="9">
        <f t="shared" si="13"/>
        <v>-0.00019147795395370564</v>
      </c>
      <c r="S88" s="9">
        <f t="shared" si="14"/>
        <v>0.00010009917789360798</v>
      </c>
      <c r="T88" s="9">
        <f t="shared" si="17"/>
        <v>9.359627256138345E-09</v>
      </c>
      <c r="U88" s="10">
        <f t="shared" si="18"/>
        <v>4.66836522652736E-08</v>
      </c>
      <c r="V88" s="8">
        <f t="shared" si="19"/>
        <v>-80.28741446542413</v>
      </c>
      <c r="W88" s="8">
        <f t="shared" si="20"/>
        <v>-73.3083517455025</v>
      </c>
      <c r="X88" s="8">
        <f t="shared" si="21"/>
        <v>-6.979062719921629</v>
      </c>
      <c r="Y88" s="8">
        <f t="shared" si="15"/>
        <v>15.131104989347808</v>
      </c>
      <c r="AA88" s="21">
        <f>Y88-riaa_curve!G72</f>
        <v>0.21423337577899915</v>
      </c>
      <c r="AB88" s="21">
        <f>Y88-riaa_curve!H72</f>
        <v>0.21595716706841728</v>
      </c>
    </row>
    <row r="89" spans="14:28" ht="12.75">
      <c r="N89" s="13">
        <v>79.9999999999999</v>
      </c>
      <c r="O89" s="10">
        <f t="shared" si="16"/>
        <v>502.6548245743663</v>
      </c>
      <c r="P89" s="9">
        <f t="shared" si="11"/>
        <v>-1.70800103227781E-05</v>
      </c>
      <c r="Q89" s="9">
        <f t="shared" si="12"/>
        <v>0.00010245516544533096</v>
      </c>
      <c r="R89" s="9">
        <f t="shared" si="13"/>
        <v>-0.00021995041072481964</v>
      </c>
      <c r="S89" s="9">
        <f t="shared" si="14"/>
        <v>0.00010617837412925641</v>
      </c>
      <c r="T89" s="9">
        <f t="shared" si="17"/>
        <v>1.0788787679056344E-08</v>
      </c>
      <c r="U89" s="10">
        <f t="shared" si="18"/>
        <v>5.96520303107492E-08</v>
      </c>
      <c r="V89" s="8">
        <f t="shared" si="19"/>
        <v>-79.67027353637413</v>
      </c>
      <c r="W89" s="8">
        <f t="shared" si="20"/>
        <v>-72.2437477013699</v>
      </c>
      <c r="X89" s="8">
        <f t="shared" si="21"/>
        <v>-7.426525835004227</v>
      </c>
      <c r="Y89" s="8">
        <f t="shared" si="15"/>
        <v>14.68364187426521</v>
      </c>
      <c r="AA89" s="21">
        <f>Y89-riaa_curve!G73</f>
        <v>0.17764016190037069</v>
      </c>
      <c r="AB89" s="21">
        <f>Y89-riaa_curve!H73</f>
        <v>0.17936251678319692</v>
      </c>
    </row>
    <row r="90" spans="14:28" ht="12.75">
      <c r="N90" s="13">
        <v>85.7418770029033</v>
      </c>
      <c r="O90" s="10">
        <f t="shared" si="16"/>
        <v>538.7321017946413</v>
      </c>
      <c r="P90" s="9">
        <f t="shared" si="11"/>
        <v>-1.9619779761107557E-05</v>
      </c>
      <c r="Q90" s="9">
        <f t="shared" si="12"/>
        <v>0.00010980653674585891</v>
      </c>
      <c r="R90" s="9">
        <f t="shared" si="13"/>
        <v>-0.00025265667498052224</v>
      </c>
      <c r="S90" s="9">
        <f t="shared" si="14"/>
        <v>0.00011243841872178853</v>
      </c>
      <c r="T90" s="9">
        <f t="shared" si="17"/>
        <v>1.2442411269994029E-08</v>
      </c>
      <c r="U90" s="10">
        <f t="shared" si="18"/>
        <v>7.64777934168695E-08</v>
      </c>
      <c r="V90" s="8">
        <f t="shared" si="19"/>
        <v>-79.05095447637537</v>
      </c>
      <c r="W90" s="8">
        <f t="shared" si="20"/>
        <v>-71.16464651075864</v>
      </c>
      <c r="X90" s="8">
        <f t="shared" si="21"/>
        <v>-7.886307965616723</v>
      </c>
      <c r="Y90" s="8">
        <f t="shared" si="15"/>
        <v>14.223859743652714</v>
      </c>
      <c r="AA90" s="21">
        <f>Y90-riaa_curve!G74</f>
        <v>0.14368381887157966</v>
      </c>
      <c r="AB90" s="21">
        <f>Y90-riaa_curve!H74</f>
        <v>0.14540452375710444</v>
      </c>
    </row>
    <row r="91" spans="14:28" ht="12.75">
      <c r="N91" s="13">
        <v>91.8958683997627</v>
      </c>
      <c r="O91" s="10">
        <f t="shared" si="16"/>
        <v>577.3987701198979</v>
      </c>
      <c r="P91" s="9">
        <f t="shared" si="11"/>
        <v>-2.253720873698841E-05</v>
      </c>
      <c r="Q91" s="9">
        <f t="shared" si="12"/>
        <v>0.00011768503505598567</v>
      </c>
      <c r="R91" s="9">
        <f t="shared" si="13"/>
        <v>-0.0002902263069291469</v>
      </c>
      <c r="S91" s="9">
        <f t="shared" si="14"/>
        <v>0.00011883323979366556</v>
      </c>
      <c r="T91" s="9">
        <f t="shared" si="17"/>
        <v>1.4357693253783164E-08</v>
      </c>
      <c r="U91" s="10">
        <f t="shared" si="18"/>
        <v>9.83526481135902E-08</v>
      </c>
      <c r="V91" s="8">
        <f t="shared" si="19"/>
        <v>-78.4291532942696</v>
      </c>
      <c r="W91" s="8">
        <f t="shared" si="20"/>
        <v>-70.07213942347217</v>
      </c>
      <c r="X91" s="8">
        <f t="shared" si="21"/>
        <v>-8.35701387079743</v>
      </c>
      <c r="Y91" s="8">
        <f t="shared" si="15"/>
        <v>13.753153838472006</v>
      </c>
      <c r="AA91" s="21">
        <f>Y91-riaa_curve!G75</f>
        <v>0.11244167134566219</v>
      </c>
      <c r="AB91" s="21">
        <f>Y91-riaa_curve!H75</f>
        <v>0.11416048088277542</v>
      </c>
    </row>
    <row r="92" spans="14:28" ht="12.75">
      <c r="N92" s="13">
        <v>98.4915530675932</v>
      </c>
      <c r="O92" s="10">
        <f t="shared" si="16"/>
        <v>618.8406791156001</v>
      </c>
      <c r="P92" s="9">
        <f t="shared" si="11"/>
        <v>-2.5888454602403387E-05</v>
      </c>
      <c r="Q92" s="9">
        <f t="shared" si="12"/>
        <v>0.00012612837706340072</v>
      </c>
      <c r="R92" s="9">
        <f t="shared" si="13"/>
        <v>-0.0003333824813463756</v>
      </c>
      <c r="S92" s="9">
        <f t="shared" si="14"/>
        <v>0.00012529980919151555</v>
      </c>
      <c r="T92" s="9">
        <f t="shared" si="17"/>
        <v>1.6578579582348092E-08</v>
      </c>
      <c r="U92" s="10">
        <f t="shared" si="18"/>
        <v>1.2684392105209665E-07</v>
      </c>
      <c r="V92" s="8">
        <f t="shared" si="19"/>
        <v>-77.80452681624945</v>
      </c>
      <c r="W92" s="8">
        <f t="shared" si="20"/>
        <v>-68.96730341345608</v>
      </c>
      <c r="X92" s="8">
        <f t="shared" si="21"/>
        <v>-8.83722340279337</v>
      </c>
      <c r="Y92" s="8">
        <f t="shared" si="15"/>
        <v>13.272944306476067</v>
      </c>
      <c r="AA92" s="21">
        <f>Y92-riaa_curve!G76</f>
        <v>0.08393935589793777</v>
      </c>
      <c r="AB92" s="21">
        <f>Y92-riaa_curve!H76</f>
        <v>0.08565598825246923</v>
      </c>
    </row>
    <row r="93" spans="14:28" ht="12.75">
      <c r="N93" s="13">
        <v>105.560632861831</v>
      </c>
      <c r="O93" s="10">
        <f t="shared" si="16"/>
        <v>663.2570174140351</v>
      </c>
      <c r="P93" s="9">
        <f t="shared" si="11"/>
        <v>-2.9738025215195944E-05</v>
      </c>
      <c r="Q93" s="9">
        <f t="shared" si="12"/>
        <v>0.00013517695945923202</v>
      </c>
      <c r="R93" s="9">
        <f t="shared" si="13"/>
        <v>-0.0003829559079074082</v>
      </c>
      <c r="S93" s="9">
        <f t="shared" si="14"/>
        <v>0.00013175377046113141</v>
      </c>
      <c r="T93" s="9">
        <f t="shared" si="17"/>
        <v>1.9157160512342485E-08</v>
      </c>
      <c r="U93" s="10">
        <f t="shared" si="18"/>
        <v>1.640142834319118E-07</v>
      </c>
      <c r="V93" s="8">
        <f t="shared" si="19"/>
        <v>-77.17668861917575</v>
      </c>
      <c r="W93" s="8">
        <f t="shared" si="20"/>
        <v>-67.85118329113607</v>
      </c>
      <c r="X93" s="8">
        <f t="shared" si="21"/>
        <v>-9.325505328039682</v>
      </c>
      <c r="Y93" s="8">
        <f t="shared" si="15"/>
        <v>12.784662381229754</v>
      </c>
      <c r="AA93" s="21">
        <f>Y93-riaa_curve!G77</f>
        <v>0.05815843420734623</v>
      </c>
      <c r="AB93" s="21">
        <f>Y93-riaa_curve!H77</f>
        <v>0.05987256563717125</v>
      </c>
    </row>
    <row r="94" spans="14:28" ht="12.75">
      <c r="N94" s="13">
        <v>113.137084989847</v>
      </c>
      <c r="O94" s="10">
        <f t="shared" si="16"/>
        <v>710.8612701053347</v>
      </c>
      <c r="P94" s="9">
        <f t="shared" si="11"/>
        <v>-3.416002064555591E-05</v>
      </c>
      <c r="Q94" s="9">
        <f t="shared" si="12"/>
        <v>0.00014487404503783194</v>
      </c>
      <c r="R94" s="9">
        <f t="shared" si="13"/>
        <v>-0.0004399008214496356</v>
      </c>
      <c r="S94" s="9">
        <f t="shared" si="14"/>
        <v>0.00013808402376315075</v>
      </c>
      <c r="T94" s="9">
        <f t="shared" si="17"/>
        <v>2.2155395936128563E-08</v>
      </c>
      <c r="U94" s="10">
        <f t="shared" si="18"/>
        <v>2.1257993033068656E-07</v>
      </c>
      <c r="V94" s="8">
        <f t="shared" si="19"/>
        <v>-76.54520484344202</v>
      </c>
      <c r="W94" s="8">
        <f t="shared" si="20"/>
        <v>-66.72477739615493</v>
      </c>
      <c r="X94" s="8">
        <f t="shared" si="21"/>
        <v>-9.820427447287088</v>
      </c>
      <c r="Y94" s="8">
        <f t="shared" si="15"/>
        <v>12.289740261982349</v>
      </c>
      <c r="AA94" s="21">
        <f>Y94-riaa_curve!G78</f>
        <v>0.03504465514449784</v>
      </c>
      <c r="AB94" s="21">
        <f>Y94-riaa_curve!H78</f>
        <v>0.03675591376800824</v>
      </c>
    </row>
    <row r="95" spans="14:28" ht="12.75">
      <c r="N95" s="13">
        <v>121.257325320832</v>
      </c>
      <c r="O95" s="10">
        <f t="shared" si="16"/>
        <v>761.8822448437468</v>
      </c>
      <c r="P95" s="9">
        <f t="shared" si="11"/>
        <v>-3.9239559522215345E-05</v>
      </c>
      <c r="Q95" s="9">
        <f t="shared" si="12"/>
        <v>0.00015526596070816013</v>
      </c>
      <c r="R95" s="9">
        <f t="shared" si="13"/>
        <v>-0.0005053133499610475</v>
      </c>
      <c r="S95" s="9">
        <f t="shared" si="14"/>
        <v>0.00014414602430014718</v>
      </c>
      <c r="T95" s="9">
        <f t="shared" si="17"/>
        <v>2.5647261586125404E-08</v>
      </c>
      <c r="U95" s="10">
        <f t="shared" si="18"/>
        <v>2.761196579703947E-07</v>
      </c>
      <c r="V95" s="8">
        <f t="shared" si="19"/>
        <v>-75.9095899864275</v>
      </c>
      <c r="W95" s="8">
        <f t="shared" si="20"/>
        <v>-65.58902673244265</v>
      </c>
      <c r="X95" s="8">
        <f t="shared" si="21"/>
        <v>-10.320563253984858</v>
      </c>
      <c r="Y95" s="8">
        <f t="shared" si="15"/>
        <v>11.789604455284579</v>
      </c>
      <c r="AA95" s="21">
        <f>Y95-riaa_curve!G79</f>
        <v>0.014516218266445335</v>
      </c>
      <c r="AB95" s="21">
        <f>Y95-riaa_curve!H79</f>
        <v>0.01622417690441047</v>
      </c>
    </row>
    <row r="96" spans="14:28" ht="12.75">
      <c r="N96" s="13">
        <v>129.960383416998</v>
      </c>
      <c r="O96" s="10">
        <f t="shared" si="16"/>
        <v>816.5651716011075</v>
      </c>
      <c r="P96" s="9">
        <f t="shared" si="11"/>
        <v>-4.507441747397714E-05</v>
      </c>
      <c r="Q96" s="9">
        <f t="shared" si="12"/>
        <v>0.00016640230793760267</v>
      </c>
      <c r="R96" s="9">
        <f t="shared" si="13"/>
        <v>-0.000580452613858298</v>
      </c>
      <c r="S96" s="9">
        <f t="shared" si="14"/>
        <v>0.00014975349439118573</v>
      </c>
      <c r="T96" s="9">
        <f t="shared" si="17"/>
        <v>2.972143119757912E-08</v>
      </c>
      <c r="U96" s="10">
        <f t="shared" si="18"/>
        <v>3.593513460173013E-07</v>
      </c>
      <c r="V96" s="8">
        <f t="shared" si="19"/>
        <v>-75.26930281511541</v>
      </c>
      <c r="W96" s="8">
        <f t="shared" si="20"/>
        <v>-64.44480724073432</v>
      </c>
      <c r="X96" s="8">
        <f t="shared" si="21"/>
        <v>-10.82449557438109</v>
      </c>
      <c r="Y96" s="8">
        <f t="shared" si="15"/>
        <v>11.285672134888348</v>
      </c>
      <c r="AA96" s="21">
        <f>Y96-riaa_curve!G80</f>
        <v>-0.00352846954964825</v>
      </c>
      <c r="AB96" s="21">
        <f>Y96-riaa_curve!H80</f>
        <v>-0.0018243015965548892</v>
      </c>
    </row>
    <row r="97" spans="14:28" ht="12.75">
      <c r="N97" s="13">
        <v>139.28809012738</v>
      </c>
      <c r="O97" s="10">
        <f t="shared" si="16"/>
        <v>875.17288135346</v>
      </c>
      <c r="P97" s="9">
        <f t="shared" si="11"/>
        <v>-5.1776909204806976E-05</v>
      </c>
      <c r="Q97" s="9">
        <f t="shared" si="12"/>
        <v>0.0001783361861092236</v>
      </c>
      <c r="R97" s="9">
        <f t="shared" si="13"/>
        <v>-0.0006667649626927538</v>
      </c>
      <c r="S97" s="9">
        <f t="shared" si="14"/>
        <v>0.0001546681798386317</v>
      </c>
      <c r="T97" s="9">
        <f t="shared" si="17"/>
        <v>3.448464360278646E-08</v>
      </c>
      <c r="U97" s="10">
        <f t="shared" si="18"/>
        <v>4.6849776132926465E-07</v>
      </c>
      <c r="V97" s="8">
        <f t="shared" si="19"/>
        <v>-74.62374258065442</v>
      </c>
      <c r="W97" s="8">
        <f t="shared" si="20"/>
        <v>-63.29292480004955</v>
      </c>
      <c r="X97" s="8">
        <f t="shared" si="21"/>
        <v>-11.330817780604875</v>
      </c>
      <c r="Y97" s="8">
        <f t="shared" si="15"/>
        <v>10.779349928664562</v>
      </c>
      <c r="AA97" s="21">
        <f>Y97-riaa_curve!G81</f>
        <v>-0.01920390573020292</v>
      </c>
      <c r="AB97" s="21">
        <f>Y97-riaa_curve!H81</f>
        <v>-0.017504092126502613</v>
      </c>
    </row>
    <row r="98" spans="14:28" ht="12.75">
      <c r="N98" s="13">
        <v>149.285278645889</v>
      </c>
      <c r="O98" s="10">
        <f t="shared" si="16"/>
        <v>937.9870693660603</v>
      </c>
      <c r="P98" s="9">
        <f t="shared" si="11"/>
        <v>-5.947605043039236E-05</v>
      </c>
      <c r="Q98" s="9">
        <f t="shared" si="12"/>
        <v>0.00019112442921287532</v>
      </c>
      <c r="R98" s="9">
        <f t="shared" si="13"/>
        <v>-0.0007659118158148226</v>
      </c>
      <c r="S98" s="9">
        <f t="shared" si="14"/>
        <v>0.00015858719566534088</v>
      </c>
      <c r="T98" s="9">
        <f t="shared" si="17"/>
        <v>4.0065948016745967E-08</v>
      </c>
      <c r="U98" s="10">
        <f t="shared" si="18"/>
        <v>6.117708082337558E-07</v>
      </c>
      <c r="V98" s="8">
        <f t="shared" si="19"/>
        <v>-73.97224576782409</v>
      </c>
      <c r="W98" s="8">
        <f t="shared" si="20"/>
        <v>-62.13411250014735</v>
      </c>
      <c r="X98" s="8">
        <f t="shared" si="21"/>
        <v>-11.838133267676739</v>
      </c>
      <c r="Y98" s="8">
        <f t="shared" si="15"/>
        <v>10.272034441592698</v>
      </c>
      <c r="AA98" s="21">
        <f>Y98-riaa_curve!G82</f>
        <v>-0.03263169741186722</v>
      </c>
      <c r="AB98" s="21">
        <f>Y98-riaa_curve!H82</f>
        <v>-0.030936885636764444</v>
      </c>
    </row>
    <row r="99" spans="14:28" ht="12.75">
      <c r="N99" s="13">
        <v>160</v>
      </c>
      <c r="O99" s="10">
        <f t="shared" si="16"/>
        <v>1005.3096491487338</v>
      </c>
      <c r="P99" s="9">
        <f t="shared" si="11"/>
        <v>-6.832004129111256E-05</v>
      </c>
      <c r="Q99" s="9">
        <f t="shared" si="12"/>
        <v>0.00020482785620373645</v>
      </c>
      <c r="R99" s="9">
        <f t="shared" si="13"/>
        <v>-0.0008798016428992807</v>
      </c>
      <c r="S99" s="9">
        <f t="shared" si="14"/>
        <v>0.00016112740094166561</v>
      </c>
      <c r="T99" s="9">
        <f t="shared" si="17"/>
        <v>4.662207871903786E-08</v>
      </c>
      <c r="U99" s="10">
        <f t="shared" si="18"/>
        <v>8.000129701824897E-07</v>
      </c>
      <c r="V99" s="8">
        <f t="shared" si="19"/>
        <v>-73.31408366678131</v>
      </c>
      <c r="W99" s="8">
        <f t="shared" si="20"/>
        <v>-60.96902971966778</v>
      </c>
      <c r="X99" s="8">
        <f t="shared" si="21"/>
        <v>-12.345053947113534</v>
      </c>
      <c r="Y99" s="8">
        <f t="shared" si="15"/>
        <v>9.765113762155902</v>
      </c>
      <c r="AA99" s="21">
        <f>Y99-riaa_curve!G83</f>
        <v>-0.04393597207302058</v>
      </c>
      <c r="AB99" s="21">
        <f>Y99-riaa_curve!H83</f>
        <v>-0.04224690588308988</v>
      </c>
    </row>
    <row r="100" spans="14:28" ht="12.75">
      <c r="N100" s="13">
        <v>171.483754005807</v>
      </c>
      <c r="O100" s="10">
        <f t="shared" si="16"/>
        <v>1077.464203589285</v>
      </c>
      <c r="P100" s="9">
        <f t="shared" si="11"/>
        <v>-7.847911904443058E-05</v>
      </c>
      <c r="Q100" s="9">
        <f t="shared" si="12"/>
        <v>0.00021951153524166735</v>
      </c>
      <c r="R100" s="9">
        <f t="shared" si="13"/>
        <v>-0.0010106266999220935</v>
      </c>
      <c r="S100" s="9">
        <f t="shared" si="14"/>
        <v>0.00016180611269513433</v>
      </c>
      <c r="T100" s="9">
        <f t="shared" si="17"/>
        <v>5.434428623014367E-08</v>
      </c>
      <c r="U100" s="10">
        <f t="shared" si="18"/>
        <v>1.0475475447009319E-06</v>
      </c>
      <c r="V100" s="8">
        <f t="shared" si="19"/>
        <v>-72.64846110991955</v>
      </c>
      <c r="W100" s="8">
        <f t="shared" si="20"/>
        <v>-59.798262567314325</v>
      </c>
      <c r="X100" s="8">
        <f t="shared" si="21"/>
        <v>-12.850198542605227</v>
      </c>
      <c r="Y100" s="8">
        <f t="shared" si="15"/>
        <v>9.25996916666421</v>
      </c>
      <c r="AA100" s="21">
        <f>Y100-riaa_curve!G84</f>
        <v>-0.05324001640236453</v>
      </c>
      <c r="AB100" s="21">
        <f>Y100-riaa_curve!H84</f>
        <v>-0.05155755014729024</v>
      </c>
    </row>
    <row r="101" spans="14:28" ht="12.75">
      <c r="N101" s="13">
        <v>183.791736799525</v>
      </c>
      <c r="O101" s="10">
        <f t="shared" si="16"/>
        <v>1154.7975402397933</v>
      </c>
      <c r="P101" s="9">
        <f t="shared" si="11"/>
        <v>-9.014883494795323E-05</v>
      </c>
      <c r="Q101" s="9">
        <f t="shared" si="12"/>
        <v>0.00023524506186267975</v>
      </c>
      <c r="R101" s="9">
        <f t="shared" si="13"/>
        <v>-0.0011609052277165826</v>
      </c>
      <c r="S101" s="9">
        <f t="shared" si="14"/>
        <v>0.00016001730916767083</v>
      </c>
      <c r="T101" s="9">
        <f t="shared" si="17"/>
        <v>6.346705157324934E-08</v>
      </c>
      <c r="U101" s="10">
        <f t="shared" si="18"/>
        <v>1.3733064869729525E-06</v>
      </c>
      <c r="V101" s="8">
        <f t="shared" si="19"/>
        <v>-71.9745167681147</v>
      </c>
      <c r="W101" s="8">
        <f t="shared" si="20"/>
        <v>-58.622325284973044</v>
      </c>
      <c r="X101" s="8">
        <f t="shared" si="21"/>
        <v>-13.352191483141652</v>
      </c>
      <c r="Y101" s="8">
        <f t="shared" si="15"/>
        <v>8.757976226127784</v>
      </c>
      <c r="AA101" s="21">
        <f>Y101-riaa_curve!G85</f>
        <v>-0.060664102363316985</v>
      </c>
      <c r="AB101" s="21">
        <f>Y101-riaa_curve!H85</f>
        <v>-0.058989217430177376</v>
      </c>
    </row>
    <row r="102" spans="14:28" ht="12.75">
      <c r="N102" s="13">
        <v>196.983106135186</v>
      </c>
      <c r="O102" s="10">
        <f t="shared" si="16"/>
        <v>1237.6813582311977</v>
      </c>
      <c r="P102" s="9">
        <f t="shared" si="11"/>
        <v>-0.00010355381840961314</v>
      </c>
      <c r="Q102" s="9">
        <f t="shared" si="12"/>
        <v>0.0002521028509190642</v>
      </c>
      <c r="R102" s="9">
        <f t="shared" si="13"/>
        <v>-0.0013335299253854971</v>
      </c>
      <c r="S102" s="9">
        <f t="shared" si="14"/>
        <v>0.00015500227601999902</v>
      </c>
      <c r="T102" s="9">
        <f t="shared" si="17"/>
        <v>7.427924074873104E-08</v>
      </c>
      <c r="U102" s="10">
        <f t="shared" si="18"/>
        <v>1.8023277674700295E-06</v>
      </c>
      <c r="V102" s="8">
        <f t="shared" si="19"/>
        <v>-71.29132544085753</v>
      </c>
      <c r="W102" s="8">
        <f t="shared" si="20"/>
        <v>-57.4416622630963</v>
      </c>
      <c r="X102" s="8">
        <f t="shared" si="21"/>
        <v>-13.849663177761236</v>
      </c>
      <c r="Y102" s="8">
        <f t="shared" si="15"/>
        <v>8.2605045315082</v>
      </c>
      <c r="AA102" s="21">
        <f>Y102-riaa_curve!G86</f>
        <v>-0.06632441522955901</v>
      </c>
      <c r="AB102" s="21">
        <f>Y102-riaa_curve!H86</f>
        <v>-0.06465823893211997</v>
      </c>
    </row>
    <row r="103" spans="14:28" ht="12.75">
      <c r="N103" s="13">
        <v>211.121265723663</v>
      </c>
      <c r="O103" s="10">
        <f t="shared" si="16"/>
        <v>1326.5140348280765</v>
      </c>
      <c r="P103" s="9">
        <f t="shared" si="11"/>
        <v>-0.0001189521008607849</v>
      </c>
      <c r="Q103" s="9">
        <f t="shared" si="12"/>
        <v>0.0002701644418440644</v>
      </c>
      <c r="R103" s="9">
        <f t="shared" si="13"/>
        <v>-0.0015318236316296473</v>
      </c>
      <c r="S103" s="9">
        <f t="shared" si="14"/>
        <v>0.00014581340694139506</v>
      </c>
      <c r="T103" s="9">
        <f t="shared" si="17"/>
        <v>8.71384279361092E-08</v>
      </c>
      <c r="U103" s="10">
        <f t="shared" si="18"/>
        <v>2.3677451880628984E-06</v>
      </c>
      <c r="V103" s="8">
        <f t="shared" si="19"/>
        <v>-70.59790279433906</v>
      </c>
      <c r="W103" s="8">
        <f t="shared" si="20"/>
        <v>-56.25665037326094</v>
      </c>
      <c r="X103" s="8">
        <f t="shared" si="21"/>
        <v>-14.341252421078124</v>
      </c>
      <c r="Y103" s="8">
        <f t="shared" si="15"/>
        <v>7.768915288191312</v>
      </c>
      <c r="AA103" s="21">
        <f>Y103-riaa_curve!G87</f>
        <v>-0.07033296807897216</v>
      </c>
      <c r="AB103" s="21">
        <f>Y103-riaa_curve!H87</f>
        <v>-0.06867679535548632</v>
      </c>
    </row>
    <row r="104" spans="14:28" ht="12.75">
      <c r="N104" s="13">
        <v>226.274169979695</v>
      </c>
      <c r="O104" s="10">
        <f t="shared" si="16"/>
        <v>1421.7225402106758</v>
      </c>
      <c r="P104" s="9">
        <f t="shared" si="11"/>
        <v>-0.00013664008258222488</v>
      </c>
      <c r="Q104" s="9">
        <f t="shared" si="12"/>
        <v>0.00028951481643405946</v>
      </c>
      <c r="R104" s="9">
        <f t="shared" si="13"/>
        <v>-0.001759603285798558</v>
      </c>
      <c r="S104" s="9">
        <f t="shared" si="14"/>
        <v>0.000131269571992288</v>
      </c>
      <c r="T104" s="9">
        <f t="shared" si="17"/>
        <v>1.0248934110292438E-07</v>
      </c>
      <c r="U104" s="10">
        <f t="shared" si="18"/>
        <v>3.1134354239241205E-06</v>
      </c>
      <c r="V104" s="8">
        <f t="shared" si="19"/>
        <v>-69.89321298909574</v>
      </c>
      <c r="W104" s="8">
        <f t="shared" si="20"/>
        <v>-55.06760137594503</v>
      </c>
      <c r="X104" s="8">
        <f t="shared" si="21"/>
        <v>-14.825611613150713</v>
      </c>
      <c r="Y104" s="8">
        <f t="shared" si="15"/>
        <v>7.284556096118724</v>
      </c>
      <c r="AA104" s="21">
        <f>Y104-riaa_curve!G88</f>
        <v>-0.0727983648023649</v>
      </c>
      <c r="AB104" s="21">
        <f>Y104-riaa_curve!H88</f>
        <v>-0.0711536831393893</v>
      </c>
    </row>
    <row r="105" spans="14:28" ht="12.75">
      <c r="N105" s="13">
        <v>242.514650641663</v>
      </c>
      <c r="O105" s="10">
        <f t="shared" si="16"/>
        <v>1523.7644896874874</v>
      </c>
      <c r="P105" s="9">
        <f t="shared" si="11"/>
        <v>-0.00015695823808886013</v>
      </c>
      <c r="Q105" s="9">
        <f t="shared" si="12"/>
        <v>0.0003102447278756756</v>
      </c>
      <c r="R105" s="9">
        <f t="shared" si="13"/>
        <v>-0.002021253399844174</v>
      </c>
      <c r="S105" s="9">
        <f t="shared" si="14"/>
        <v>0.00010990109994439796</v>
      </c>
      <c r="T105" s="9">
        <f t="shared" si="17"/>
        <v>1.208876796786113E-07</v>
      </c>
      <c r="U105" s="10">
        <f t="shared" si="18"/>
        <v>4.097543558150621E-06</v>
      </c>
      <c r="V105" s="8">
        <f t="shared" si="19"/>
        <v>-69.176179581983</v>
      </c>
      <c r="W105" s="8">
        <f t="shared" si="20"/>
        <v>-53.874764210487605</v>
      </c>
      <c r="X105" s="8">
        <f t="shared" si="21"/>
        <v>-15.301415371495402</v>
      </c>
      <c r="Y105" s="8">
        <f t="shared" si="15"/>
        <v>6.808752337774035</v>
      </c>
      <c r="AA105" s="21">
        <f>Y105-riaa_curve!G89</f>
        <v>-0.07382725408216295</v>
      </c>
      <c r="AB105" s="21">
        <f>Y105-riaa_curve!H89</f>
        <v>-0.072195772143969</v>
      </c>
    </row>
    <row r="106" spans="14:28" ht="12.75">
      <c r="N106" s="13">
        <v>259.920766833995</v>
      </c>
      <c r="O106" s="10">
        <f t="shared" si="16"/>
        <v>1633.1303432022085</v>
      </c>
      <c r="P106" s="9">
        <f t="shared" si="11"/>
        <v>-0.00018029766989590708</v>
      </c>
      <c r="Q106" s="9">
        <f t="shared" si="12"/>
        <v>0.00033245103915209204</v>
      </c>
      <c r="R106" s="9">
        <f t="shared" si="13"/>
        <v>-0.002321810455433173</v>
      </c>
      <c r="S106" s="9">
        <f t="shared" si="14"/>
        <v>7.988196895336403E-05</v>
      </c>
      <c r="T106" s="9">
        <f t="shared" si="17"/>
        <v>1.430309432031993E-07</v>
      </c>
      <c r="U106" s="10">
        <f t="shared" si="18"/>
        <v>5.397184919922665E-06</v>
      </c>
      <c r="V106" s="8">
        <f t="shared" si="19"/>
        <v>-68.44569997439388</v>
      </c>
      <c r="W106" s="8">
        <f t="shared" si="20"/>
        <v>-52.67832701755762</v>
      </c>
      <c r="X106" s="8">
        <f t="shared" si="21"/>
        <v>-15.767372956836255</v>
      </c>
      <c r="Y106" s="8">
        <f t="shared" si="15"/>
        <v>6.342794752433182</v>
      </c>
      <c r="AA106" s="21">
        <f>Y106-riaa_curve!G90</f>
        <v>-0.0735262968237329</v>
      </c>
      <c r="AB106" s="21">
        <f>Y106-riaa_curve!H90</f>
        <v>-0.07190997733816928</v>
      </c>
    </row>
    <row r="107" spans="14:28" ht="12.75">
      <c r="N107" s="13">
        <v>278.576180254759</v>
      </c>
      <c r="O107" s="10">
        <f t="shared" si="16"/>
        <v>1750.3457627069135</v>
      </c>
      <c r="P107" s="9">
        <f t="shared" si="11"/>
        <v>-0.00020710763681922641</v>
      </c>
      <c r="Q107" s="9">
        <f t="shared" si="12"/>
        <v>0.0003562370682110978</v>
      </c>
      <c r="R107" s="9">
        <f t="shared" si="13"/>
        <v>-0.002667059850770996</v>
      </c>
      <c r="S107" s="9">
        <f t="shared" si="14"/>
        <v>3.89462434840159E-05</v>
      </c>
      <c r="T107" s="9">
        <f t="shared" si="17"/>
        <v>1.6979842199648295E-07</v>
      </c>
      <c r="U107" s="10">
        <f t="shared" si="18"/>
        <v>7.1147250574761236E-06</v>
      </c>
      <c r="V107" s="8">
        <f t="shared" si="19"/>
        <v>-67.7006635014274</v>
      </c>
      <c r="W107" s="8">
        <f t="shared" si="20"/>
        <v>-51.47841878197842</v>
      </c>
      <c r="X107" s="8">
        <f t="shared" si="21"/>
        <v>-16.22224471944898</v>
      </c>
      <c r="Y107" s="8">
        <f t="shared" si="15"/>
        <v>5.887922989820456</v>
      </c>
      <c r="AA107" s="21">
        <f>Y107-riaa_curve!G91</f>
        <v>-0.07200444833856778</v>
      </c>
      <c r="AB107" s="21">
        <f>Y107-riaa_curve!H91</f>
        <v>-0.07040554587207204</v>
      </c>
    </row>
    <row r="108" spans="14:28" ht="12.75">
      <c r="N108" s="13">
        <v>298.570557291778</v>
      </c>
      <c r="O108" s="10">
        <f t="shared" si="16"/>
        <v>1875.9741387321205</v>
      </c>
      <c r="P108" s="9">
        <f t="shared" si="11"/>
        <v>-0.00023790420172156945</v>
      </c>
      <c r="Q108" s="9">
        <f t="shared" si="12"/>
        <v>0.0003817129363289974</v>
      </c>
      <c r="R108" s="9">
        <f t="shared" si="13"/>
        <v>-0.0030636472632592903</v>
      </c>
      <c r="S108" s="9">
        <f t="shared" si="14"/>
        <v>-1.5714889644318682E-05</v>
      </c>
      <c r="T108" s="9">
        <f t="shared" si="17"/>
        <v>2.0230317495768243E-07</v>
      </c>
      <c r="U108" s="10">
        <f t="shared" si="18"/>
        <v>9.386181511432672E-06</v>
      </c>
      <c r="V108" s="8">
        <f t="shared" si="19"/>
        <v>-66.93997301333093</v>
      </c>
      <c r="W108" s="8">
        <f t="shared" si="20"/>
        <v>-50.27511051588323</v>
      </c>
      <c r="X108" s="8">
        <f t="shared" si="21"/>
        <v>-16.6648624974477</v>
      </c>
      <c r="Y108" s="8">
        <f t="shared" si="15"/>
        <v>5.445305211821736</v>
      </c>
      <c r="AA108" s="21">
        <f>Y108-riaa_curve!G92</f>
        <v>-0.06937533599425905</v>
      </c>
      <c r="AB108" s="21">
        <f>Y108-riaa_curve!H92</f>
        <v>-0.0677964403427147</v>
      </c>
    </row>
    <row r="109" spans="14:28" ht="12.75">
      <c r="N109" s="13">
        <v>319.999999999999</v>
      </c>
      <c r="O109" s="10">
        <f t="shared" si="16"/>
        <v>2010.6192982974612</v>
      </c>
      <c r="P109" s="9">
        <f t="shared" si="11"/>
        <v>-0.0002732801651644485</v>
      </c>
      <c r="Q109" s="9">
        <f t="shared" si="12"/>
        <v>0.0004089959149120657</v>
      </c>
      <c r="R109" s="9">
        <f t="shared" si="13"/>
        <v>-0.003519206571597101</v>
      </c>
      <c r="S109" s="9">
        <f t="shared" si="14"/>
        <v>-8.757997665144426E-05</v>
      </c>
      <c r="T109" s="9">
        <f t="shared" si="17"/>
        <v>2.419597070870659E-07</v>
      </c>
      <c r="U109" s="10">
        <f t="shared" si="18"/>
        <v>1.2392485145882488E-05</v>
      </c>
      <c r="V109" s="8">
        <f t="shared" si="19"/>
        <v>-66.1625694991501</v>
      </c>
      <c r="W109" s="8">
        <f t="shared" si="20"/>
        <v>-49.068415929848555</v>
      </c>
      <c r="X109" s="8">
        <f t="shared" si="21"/>
        <v>-17.09415356930154</v>
      </c>
      <c r="Y109" s="8">
        <f t="shared" si="15"/>
        <v>5.016014139967897</v>
      </c>
      <c r="AA109" s="21">
        <f>Y109-riaa_curve!G93</f>
        <v>-0.06575949738919107</v>
      </c>
      <c r="AB109" s="21">
        <f>Y109-riaa_curve!H93</f>
        <v>-0.06420358341932797</v>
      </c>
    </row>
    <row r="110" spans="14:28" ht="12.75">
      <c r="N110" s="13">
        <v>342.967508011613</v>
      </c>
      <c r="O110" s="10">
        <f t="shared" si="16"/>
        <v>2154.9284071785637</v>
      </c>
      <c r="P110" s="9">
        <f t="shared" si="11"/>
        <v>-0.00031391647617772054</v>
      </c>
      <c r="Q110" s="9">
        <f t="shared" si="12"/>
        <v>0.0004382107644829255</v>
      </c>
      <c r="R110" s="9">
        <f t="shared" si="13"/>
        <v>-0.004042506799688351</v>
      </c>
      <c r="S110" s="9">
        <f t="shared" si="14"/>
        <v>-0.00018095357259727228</v>
      </c>
      <c r="T110" s="9">
        <f t="shared" si="17"/>
        <v>2.905722281245474E-07</v>
      </c>
      <c r="U110" s="10">
        <f t="shared" si="18"/>
        <v>1.6374605420962267E-05</v>
      </c>
      <c r="V110" s="8">
        <f t="shared" si="19"/>
        <v>-65.36745896399405</v>
      </c>
      <c r="W110" s="8">
        <f t="shared" si="20"/>
        <v>-47.85829156408755</v>
      </c>
      <c r="X110" s="8">
        <f t="shared" si="21"/>
        <v>-17.509167399906502</v>
      </c>
      <c r="Y110" s="8">
        <f t="shared" si="15"/>
        <v>4.601000309362934</v>
      </c>
      <c r="AA110" s="21">
        <f>Y110-riaa_curve!G94</f>
        <v>-0.0612862395818361</v>
      </c>
      <c r="AB110" s="21">
        <f>Y110-riaa_curve!H94</f>
        <v>-0.05975672448183289</v>
      </c>
    </row>
    <row r="111" spans="14:28" ht="12.75">
      <c r="N111" s="13">
        <v>367.58347359905</v>
      </c>
      <c r="O111" s="10">
        <f t="shared" si="16"/>
        <v>2309.5950804795866</v>
      </c>
      <c r="P111" s="9">
        <f t="shared" si="11"/>
        <v>-0.0003605953397918129</v>
      </c>
      <c r="Q111" s="9">
        <f t="shared" si="12"/>
        <v>0.00046949005773103076</v>
      </c>
      <c r="R111" s="9">
        <f t="shared" si="13"/>
        <v>-0.0046436209108663305</v>
      </c>
      <c r="S111" s="9">
        <f t="shared" si="14"/>
        <v>-0.00030115874502193747</v>
      </c>
      <c r="T111" s="9">
        <f t="shared" si="17"/>
        <v>3.5044991338785964E-07</v>
      </c>
      <c r="U111" s="10">
        <f t="shared" si="18"/>
        <v>2.1653911753538236E-05</v>
      </c>
      <c r="V111" s="8">
        <f t="shared" si="19"/>
        <v>-64.55374043014376</v>
      </c>
      <c r="W111" s="8">
        <f t="shared" si="20"/>
        <v>-46.64463637439064</v>
      </c>
      <c r="X111" s="8">
        <f t="shared" si="21"/>
        <v>-17.90910405575312</v>
      </c>
      <c r="Y111" s="8">
        <f t="shared" si="15"/>
        <v>4.201063653516318</v>
      </c>
      <c r="AA111" s="21">
        <f>Y111-riaa_curve!G95</f>
        <v>-0.056094893267221835</v>
      </c>
      <c r="AB111" s="21">
        <f>Y111-riaa_curve!H95</f>
        <v>-0.054595702307567606</v>
      </c>
    </row>
    <row r="112" spans="14:28" ht="12.75">
      <c r="N112" s="13">
        <v>393.966212270372</v>
      </c>
      <c r="O112" s="10">
        <f t="shared" si="16"/>
        <v>2475.3627164623954</v>
      </c>
      <c r="P112" s="9">
        <f t="shared" si="11"/>
        <v>-0.00041421527363845256</v>
      </c>
      <c r="Q112" s="9">
        <f t="shared" si="12"/>
        <v>0.0005029744761762344</v>
      </c>
      <c r="R112" s="9">
        <f t="shared" si="13"/>
        <v>-0.005334119701541989</v>
      </c>
      <c r="S112" s="9">
        <f t="shared" si="14"/>
        <v>-0.00045477418686425516</v>
      </c>
      <c r="T112" s="9">
        <f t="shared" si="17"/>
        <v>4.245576166001355E-07</v>
      </c>
      <c r="U112" s="10">
        <f t="shared" si="18"/>
        <v>2.8659652551416438E-05</v>
      </c>
      <c r="V112" s="8">
        <f t="shared" si="19"/>
        <v>-63.72063363432926</v>
      </c>
      <c r="W112" s="8">
        <f t="shared" si="20"/>
        <v>-45.42729078974168</v>
      </c>
      <c r="X112" s="8">
        <f t="shared" si="21"/>
        <v>-18.293342844587578</v>
      </c>
      <c r="Y112" s="8">
        <f t="shared" si="15"/>
        <v>3.816824864681859</v>
      </c>
      <c r="AA112" s="21">
        <f>Y112-riaa_curve!G96</f>
        <v>-0.05033527251450565</v>
      </c>
      <c r="AB112" s="21">
        <f>Y112-riaa_curve!H96</f>
        <v>-0.04887091458368786</v>
      </c>
    </row>
    <row r="113" spans="14:28" ht="12.75">
      <c r="N113" s="13">
        <v>422.242531447325</v>
      </c>
      <c r="O113" s="10">
        <f t="shared" si="16"/>
        <v>2653.0280696561467</v>
      </c>
      <c r="P113" s="9">
        <f aca="true" t="shared" si="22" ref="P113:P144">-O113*O113*$F$4*($F$6*$F$12+$F$5*$F$10)</f>
        <v>-0.0004758084034431374</v>
      </c>
      <c r="Q113" s="9">
        <f aca="true" t="shared" si="23" ref="Q113:Q144">O113*$F$4*(1-O113*O113*$F$5*$F$6*$F$10*$F$12)</f>
        <v>0.0005388130670929197</v>
      </c>
      <c r="R113" s="9">
        <f aca="true" t="shared" si="24" ref="R113:R144">-O113*O113*(($F$5*$F$6*($F$10+$F$11+$F$12))+$F$4*($F$5*$F$10+$F$6*$F$11+$F$6*$F$12+$F$5*$F$9+$F$6*$F$9))</f>
        <v>-0.00612729452651856</v>
      </c>
      <c r="S113" s="9">
        <f aca="true" t="shared" si="25" ref="S113:S144">O113*($F$4-$F$4*O113*O113*$F$5*$F$6*($F$10*$F$12+$F$10*$F$11+$F$9*$F$10+$F$9*$F$11+$F$9*$F$12)+$F$5+$F$6)</f>
        <v>-0.0006499262579641512</v>
      </c>
      <c r="T113" s="9">
        <f t="shared" si="17"/>
        <v>5.167131580571866E-07</v>
      </c>
      <c r="U113" s="10">
        <f t="shared" si="18"/>
        <v>3.7966142355495585E-05</v>
      </c>
      <c r="V113" s="8">
        <f t="shared" si="19"/>
        <v>-62.86750479041005</v>
      </c>
      <c r="W113" s="8">
        <f t="shared" si="20"/>
        <v>-44.2060352819159</v>
      </c>
      <c r="X113" s="8">
        <f t="shared" si="21"/>
        <v>-18.66146950849415</v>
      </c>
      <c r="Y113" s="8">
        <f aca="true" t="shared" si="26" ref="Y113:Y144">X113-$X$45</f>
        <v>3.4486982007752864</v>
      </c>
      <c r="AA113" s="21">
        <f>Y113-riaa_curve!G97</f>
        <v>-0.044167212791805355</v>
      </c>
      <c r="AB113" s="21">
        <f>Y113-riaa_curve!H97</f>
        <v>-0.04274286715912723</v>
      </c>
    </row>
    <row r="114" spans="14:28" ht="12.75">
      <c r="N114" s="13">
        <v>452.548339959389</v>
      </c>
      <c r="O114" s="10">
        <f aca="true" t="shared" si="27" ref="O114:O145">(2*PI()*N114)</f>
        <v>2843.4450804213457</v>
      </c>
      <c r="P114" s="9">
        <f t="shared" si="22"/>
        <v>-0.0005465603303288972</v>
      </c>
      <c r="Q114" s="9">
        <f t="shared" si="23"/>
        <v>0.0005771634437352722</v>
      </c>
      <c r="R114" s="9">
        <f t="shared" si="24"/>
        <v>-0.007038413143194203</v>
      </c>
      <c r="S114" s="9">
        <f t="shared" si="25"/>
        <v>-0.00089664866028753</v>
      </c>
      <c r="T114" s="9">
        <f aca="true" t="shared" si="28" ref="T114:T145">P114*P114+Q114*Q114</f>
        <v>6.31845835473592E-07</v>
      </c>
      <c r="U114" s="10">
        <f aca="true" t="shared" si="29" ref="U114:U145">R114*R114+S114*S114</f>
        <v>5.034323839428432E-05</v>
      </c>
      <c r="V114" s="8">
        <f aca="true" t="shared" si="30" ref="V114:V145">10*LOG10(T114)</f>
        <v>-61.993888726201334</v>
      </c>
      <c r="W114" s="8">
        <f aca="true" t="shared" si="31" ref="W114:W145">10*LOG10(U114)</f>
        <v>-42.98058851331714</v>
      </c>
      <c r="X114" s="8">
        <f aca="true" t="shared" si="32" ref="X114:X145">V114-W114</f>
        <v>-19.013300212884197</v>
      </c>
      <c r="Y114" s="8">
        <f t="shared" si="26"/>
        <v>3.09686749638524</v>
      </c>
      <c r="AA114" s="21">
        <f>Y114-riaa_curve!G98</f>
        <v>-0.03775914433266081</v>
      </c>
      <c r="AB114" s="21">
        <f>Y114-riaa_curve!H98</f>
        <v>-0.036380760306101934</v>
      </c>
    </row>
    <row r="115" spans="14:28" ht="12.75">
      <c r="N115" s="13">
        <v>485.029301283326</v>
      </c>
      <c r="O115" s="10">
        <f t="shared" si="27"/>
        <v>3047.528979374975</v>
      </c>
      <c r="P115" s="9">
        <f t="shared" si="22"/>
        <v>-0.0006278329523554405</v>
      </c>
      <c r="Q115" s="9">
        <f t="shared" si="23"/>
        <v>0.0006181919074262033</v>
      </c>
      <c r="R115" s="9">
        <f t="shared" si="24"/>
        <v>-0.008085013599376696</v>
      </c>
      <c r="S115" s="9">
        <f t="shared" si="25"/>
        <v>-0.0012073253893583695</v>
      </c>
      <c r="T115" s="9">
        <f t="shared" si="28"/>
        <v>7.763354504705964E-07</v>
      </c>
      <c r="U115" s="10">
        <f t="shared" si="29"/>
        <v>6.682507949789546E-05</v>
      </c>
      <c r="V115" s="8">
        <f t="shared" si="30"/>
        <v>-61.09950581822882</v>
      </c>
      <c r="W115" s="8">
        <f t="shared" si="31"/>
        <v>-41.75060515916329</v>
      </c>
      <c r="X115" s="8">
        <f t="shared" si="32"/>
        <v>-19.348900659065528</v>
      </c>
      <c r="Y115" s="8">
        <f t="shared" si="26"/>
        <v>2.7612670502039087</v>
      </c>
      <c r="AA115" s="21">
        <f>Y115-riaa_curve!G99</f>
        <v>-0.03128575532915079</v>
      </c>
      <c r="AB115" s="21">
        <f>Y115-riaa_curve!H99</f>
        <v>-0.029960166723654424</v>
      </c>
    </row>
    <row r="116" spans="14:28" ht="12.75">
      <c r="N116" s="13">
        <v>519.84153366799</v>
      </c>
      <c r="O116" s="10">
        <f t="shared" si="27"/>
        <v>3266.260686404417</v>
      </c>
      <c r="P116" s="9">
        <f t="shared" si="22"/>
        <v>-0.0007211906795836283</v>
      </c>
      <c r="Q116" s="9">
        <f t="shared" si="23"/>
        <v>0.0006620734645192885</v>
      </c>
      <c r="R116" s="9">
        <f t="shared" si="24"/>
        <v>-0.009287241821732692</v>
      </c>
      <c r="S116" s="9">
        <f t="shared" si="25"/>
        <v>-0.0015972362207253262</v>
      </c>
      <c r="T116" s="9">
        <f t="shared" si="28"/>
        <v>9.584572687388692E-07</v>
      </c>
      <c r="U116" s="10">
        <f t="shared" si="29"/>
        <v>8.88040242001377E-05</v>
      </c>
      <c r="V116" s="8">
        <f t="shared" si="30"/>
        <v>-60.18427244668648</v>
      </c>
      <c r="W116" s="8">
        <f t="shared" si="31"/>
        <v>-40.515673534971356</v>
      </c>
      <c r="X116" s="8">
        <f t="shared" si="32"/>
        <v>-19.668598911715122</v>
      </c>
      <c r="Y116" s="8">
        <f t="shared" si="26"/>
        <v>2.4415687975543143</v>
      </c>
      <c r="AA116" s="21">
        <f>Y116-riaa_curve!G100</f>
        <v>-0.024924895865048313</v>
      </c>
      <c r="AB116" s="21">
        <f>Y116-riaa_curve!H100</f>
        <v>-0.023659952480826973</v>
      </c>
    </row>
    <row r="117" spans="14:28" ht="12.75">
      <c r="N117" s="13">
        <v>557.152360509518</v>
      </c>
      <c r="O117" s="10">
        <f t="shared" si="27"/>
        <v>3500.691525413827</v>
      </c>
      <c r="P117" s="9">
        <f t="shared" si="22"/>
        <v>-0.0008284305472769057</v>
      </c>
      <c r="Q117" s="9">
        <f t="shared" si="23"/>
        <v>0.000708991704363411</v>
      </c>
      <c r="R117" s="9">
        <f t="shared" si="24"/>
        <v>-0.010668239403083984</v>
      </c>
      <c r="S117" s="9">
        <f t="shared" si="25"/>
        <v>-0.0020852284425779445</v>
      </c>
      <c r="T117" s="9">
        <f t="shared" si="28"/>
        <v>1.1889664085176478E-06</v>
      </c>
      <c r="U117" s="10">
        <f t="shared" si="29"/>
        <v>0.00011815950961924976</v>
      </c>
      <c r="V117" s="8">
        <f t="shared" si="30"/>
        <v>-59.248304151891354</v>
      </c>
      <c r="W117" s="8">
        <f t="shared" si="31"/>
        <v>-39.27531320083512</v>
      </c>
      <c r="X117" s="8">
        <f t="shared" si="32"/>
        <v>-19.972990951056232</v>
      </c>
      <c r="Y117" s="8">
        <f t="shared" si="26"/>
        <v>2.1371767582132044</v>
      </c>
      <c r="AA117" s="21">
        <f>Y117-riaa_curve!G101</f>
        <v>-0.01885395253980704</v>
      </c>
      <c r="AB117" s="21">
        <f>Y117-riaa_curve!H101</f>
        <v>-0.017658671176413065</v>
      </c>
    </row>
    <row r="118" spans="14:28" ht="12.75">
      <c r="N118" s="13">
        <v>597.141114583556</v>
      </c>
      <c r="O118" s="10">
        <f t="shared" si="27"/>
        <v>3751.948277464241</v>
      </c>
      <c r="P118" s="9">
        <f t="shared" si="22"/>
        <v>-0.0009516168068862778</v>
      </c>
      <c r="Q118" s="9">
        <f t="shared" si="23"/>
        <v>0.0007591384958839687</v>
      </c>
      <c r="R118" s="9">
        <f t="shared" si="24"/>
        <v>-0.012254589053037161</v>
      </c>
      <c r="S118" s="9">
        <f t="shared" si="25"/>
        <v>-0.002694544027088641</v>
      </c>
      <c r="T118" s="9">
        <f t="shared" si="28"/>
        <v>1.4818658030814097E-06</v>
      </c>
      <c r="U118" s="10">
        <f t="shared" si="29"/>
        <v>0.0001574355203727373</v>
      </c>
      <c r="V118" s="8">
        <f t="shared" si="30"/>
        <v>-58.2919112403557</v>
      </c>
      <c r="W118" s="8">
        <f t="shared" si="31"/>
        <v>-38.02897276033408</v>
      </c>
      <c r="X118" s="8">
        <f t="shared" si="32"/>
        <v>-20.262938480021624</v>
      </c>
      <c r="Y118" s="8">
        <f t="shared" si="26"/>
        <v>1.8472292292478123</v>
      </c>
      <c r="AA118" s="21">
        <f>Y118-riaa_curve!G102</f>
        <v>-0.013245970656161177</v>
      </c>
      <c r="AB118" s="21">
        <f>Y118-riaa_curve!H102</f>
        <v>-0.012130708562533954</v>
      </c>
    </row>
    <row r="119" spans="14:28" ht="12.75">
      <c r="N119" s="13">
        <v>639.999999999999</v>
      </c>
      <c r="O119" s="10">
        <f t="shared" si="27"/>
        <v>4021.238596594929</v>
      </c>
      <c r="P119" s="9">
        <f t="shared" si="22"/>
        <v>-0.0010931206606577975</v>
      </c>
      <c r="Q119" s="9">
        <f t="shared" si="23"/>
        <v>0.0008127134498608858</v>
      </c>
      <c r="R119" s="9">
        <f t="shared" si="24"/>
        <v>-0.014076826286388447</v>
      </c>
      <c r="S119" s="9">
        <f t="shared" si="25"/>
        <v>-0.0034538381815811116</v>
      </c>
      <c r="T119" s="9">
        <f t="shared" si="28"/>
        <v>1.8554159303417223E-06</v>
      </c>
      <c r="U119" s="10">
        <f t="shared" si="29"/>
        <v>0.00021008603648170428</v>
      </c>
      <c r="V119" s="8">
        <f t="shared" si="30"/>
        <v>-57.315587189308474</v>
      </c>
      <c r="W119" s="8">
        <f t="shared" si="31"/>
        <v>-36.776028123273775</v>
      </c>
      <c r="X119" s="8">
        <f t="shared" si="32"/>
        <v>-20.5395590660347</v>
      </c>
      <c r="Y119" s="8">
        <f t="shared" si="26"/>
        <v>1.5706086432347384</v>
      </c>
      <c r="AA119" s="21">
        <f>Y119-riaa_curve!G103</f>
        <v>-0.008265806611849058</v>
      </c>
      <c r="AB119" s="21">
        <f>Y119-riaa_curve!H103</f>
        <v>-0.007242460702290288</v>
      </c>
    </row>
    <row r="120" spans="14:28" ht="12.75">
      <c r="N120" s="13">
        <v>685.935016023226</v>
      </c>
      <c r="O120" s="10">
        <f t="shared" si="27"/>
        <v>4309.856814357127</v>
      </c>
      <c r="P120" s="9">
        <f t="shared" si="22"/>
        <v>-0.0012556659047108822</v>
      </c>
      <c r="Q120" s="9">
        <f t="shared" si="23"/>
        <v>0.0008699230809625879</v>
      </c>
      <c r="R120" s="9">
        <f t="shared" si="24"/>
        <v>-0.016170027198753403</v>
      </c>
      <c r="S120" s="9">
        <f t="shared" si="25"/>
        <v>-0.004398433529094871</v>
      </c>
      <c r="T120" s="9">
        <f t="shared" si="28"/>
        <v>2.3334630310448394E-06</v>
      </c>
      <c r="U120" s="10">
        <f t="shared" si="29"/>
        <v>0.0002808159971182908</v>
      </c>
      <c r="V120" s="8">
        <f t="shared" si="30"/>
        <v>-56.31999075233254</v>
      </c>
      <c r="W120" s="8">
        <f t="shared" si="31"/>
        <v>-35.515781555795904</v>
      </c>
      <c r="X120" s="8">
        <f t="shared" si="32"/>
        <v>-20.804209196536632</v>
      </c>
      <c r="Y120" s="8">
        <f t="shared" si="26"/>
        <v>1.3059585127328042</v>
      </c>
      <c r="AA120" s="21">
        <f>Y120-riaa_curve!G104</f>
        <v>-0.0040665571453750715</v>
      </c>
      <c r="AB120" s="21">
        <f>Y120-riaa_curve!H104</f>
        <v>-0.0031487928045415003</v>
      </c>
    </row>
    <row r="121" spans="14:28" ht="12.75">
      <c r="N121" s="13">
        <v>735.166947198101</v>
      </c>
      <c r="O121" s="10">
        <f t="shared" si="27"/>
        <v>4619.190160959179</v>
      </c>
      <c r="P121" s="9">
        <f t="shared" si="22"/>
        <v>-0.0014423813591672554</v>
      </c>
      <c r="Q121" s="9">
        <f t="shared" si="23"/>
        <v>0.0009309795875074328</v>
      </c>
      <c r="R121" s="9">
        <f t="shared" si="24"/>
        <v>-0.018574483643465367</v>
      </c>
      <c r="S121" s="9">
        <f t="shared" si="25"/>
        <v>-0.005571864396902131</v>
      </c>
      <c r="T121" s="9">
        <f t="shared" si="28"/>
        <v>2.9471869776286886E-06</v>
      </c>
      <c r="U121" s="10">
        <f t="shared" si="29"/>
        <v>0.000376057115478828</v>
      </c>
      <c r="V121" s="8">
        <f t="shared" si="30"/>
        <v>-55.30592310442426</v>
      </c>
      <c r="W121" s="8">
        <f t="shared" si="31"/>
        <v>-34.24746189504503</v>
      </c>
      <c r="X121" s="8">
        <f t="shared" si="32"/>
        <v>-21.05846120937923</v>
      </c>
      <c r="Y121" s="8">
        <f t="shared" si="26"/>
        <v>1.051706499890205</v>
      </c>
      <c r="AA121" s="21">
        <f>Y121-riaa_curve!G105</f>
        <v>-0.0007864426549843984</v>
      </c>
      <c r="AB121" s="21">
        <f>Y121-riaa_curve!H105</f>
        <v>1.0043479150567691E-05</v>
      </c>
    </row>
    <row r="122" spans="14:28" ht="12.75">
      <c r="N122" s="13">
        <v>787.932424540744</v>
      </c>
      <c r="O122" s="10">
        <f t="shared" si="27"/>
        <v>4950.725432924791</v>
      </c>
      <c r="P122" s="9">
        <f t="shared" si="22"/>
        <v>-0.0016568610945538102</v>
      </c>
      <c r="Q122" s="9">
        <f t="shared" si="23"/>
        <v>0.0009960991470573165</v>
      </c>
      <c r="R122" s="9">
        <f t="shared" si="24"/>
        <v>-0.021336478806167954</v>
      </c>
      <c r="S122" s="9">
        <f t="shared" si="25"/>
        <v>-0.0070277782849625355</v>
      </c>
      <c r="T122" s="9">
        <f t="shared" si="28"/>
        <v>3.7374021974143637E-06</v>
      </c>
      <c r="U122" s="10">
        <f t="shared" si="29"/>
        <v>0.0005046349954686452</v>
      </c>
      <c r="V122" s="8">
        <f t="shared" si="30"/>
        <v>-54.27430163397684</v>
      </c>
      <c r="W122" s="8">
        <f t="shared" si="31"/>
        <v>-32.97022635285102</v>
      </c>
      <c r="X122" s="8">
        <f t="shared" si="32"/>
        <v>-21.30407528112582</v>
      </c>
      <c r="Y122" s="8">
        <f t="shared" si="26"/>
        <v>0.8060924281436179</v>
      </c>
      <c r="AA122" s="21">
        <f>Y122-riaa_curve!G106</f>
        <v>0.0014537657917337299</v>
      </c>
      <c r="AB122" s="21">
        <f>Y122-riaa_curve!H106</f>
        <v>0.0021109440287894188</v>
      </c>
    </row>
    <row r="123" spans="14:28" ht="12.75">
      <c r="N123" s="13">
        <v>844.48506289465</v>
      </c>
      <c r="O123" s="10">
        <f t="shared" si="27"/>
        <v>5306.056139312293</v>
      </c>
      <c r="P123" s="9">
        <f t="shared" si="22"/>
        <v>-0.0019032336137725495</v>
      </c>
      <c r="Q123" s="9">
        <f t="shared" si="23"/>
        <v>0.0010654996014241775</v>
      </c>
      <c r="R123" s="9">
        <f t="shared" si="24"/>
        <v>-0.02450917810607424</v>
      </c>
      <c r="S123" s="9">
        <f t="shared" si="25"/>
        <v>-0.00883227709070384</v>
      </c>
      <c r="T123" s="9">
        <f t="shared" si="28"/>
        <v>4.7575875892287994E-06</v>
      </c>
      <c r="U123" s="10">
        <f t="shared" si="29"/>
        <v>0.0006787089300422407</v>
      </c>
      <c r="V123" s="8">
        <f t="shared" si="30"/>
        <v>-53.2261320741959</v>
      </c>
      <c r="W123" s="8">
        <f t="shared" si="31"/>
        <v>-31.683164365864116</v>
      </c>
      <c r="X123" s="8">
        <f t="shared" si="32"/>
        <v>-21.542967708331787</v>
      </c>
      <c r="Y123" s="8">
        <f t="shared" si="26"/>
        <v>0.5672000009376497</v>
      </c>
      <c r="AA123" s="21">
        <f>Y123-riaa_curve!G107</f>
        <v>0.0025527734592039053</v>
      </c>
      <c r="AB123" s="21">
        <f>Y123-riaa_curve!H107</f>
        <v>0.00304993445850954</v>
      </c>
    </row>
    <row r="124" spans="14:28" ht="12.75">
      <c r="N124" s="13">
        <v>905.096679918779</v>
      </c>
      <c r="O124" s="10">
        <f t="shared" si="27"/>
        <v>5686.890160842698</v>
      </c>
      <c r="P124" s="9">
        <f t="shared" si="22"/>
        <v>-0.0021862413213155937</v>
      </c>
      <c r="Q124" s="9">
        <f t="shared" si="23"/>
        <v>0.0011393973744077814</v>
      </c>
      <c r="R124" s="9">
        <f t="shared" si="24"/>
        <v>-0.028153652572776876</v>
      </c>
      <c r="S124" s="9">
        <f t="shared" si="25"/>
        <v>-0.011066799754751954</v>
      </c>
      <c r="T124" s="9">
        <f t="shared" si="28"/>
        <v>6.077877491835099E-06</v>
      </c>
      <c r="U124" s="10">
        <f t="shared" si="29"/>
        <v>0.0009151022100004039</v>
      </c>
      <c r="V124" s="8">
        <f t="shared" si="30"/>
        <v>-52.16248057983652</v>
      </c>
      <c r="W124" s="8">
        <f t="shared" si="31"/>
        <v>-30.385303958132162</v>
      </c>
      <c r="X124" s="8">
        <f t="shared" si="32"/>
        <v>-21.777176621704356</v>
      </c>
      <c r="Y124" s="8">
        <f t="shared" si="26"/>
        <v>0.33299108756508033</v>
      </c>
      <c r="AA124" s="21">
        <f>Y124-riaa_curve!G108</f>
        <v>0.002430310351634546</v>
      </c>
      <c r="AB124" s="21">
        <f>Y124-riaa_curve!H108</f>
        <v>0.0027436670890068626</v>
      </c>
    </row>
    <row r="125" spans="14:28" ht="12.75">
      <c r="N125" s="13">
        <v>970.058602566652</v>
      </c>
      <c r="O125" s="10">
        <f t="shared" si="27"/>
        <v>6095.05795874995</v>
      </c>
      <c r="P125" s="9">
        <f t="shared" si="22"/>
        <v>-0.002511331809421762</v>
      </c>
      <c r="Q125" s="9">
        <f t="shared" si="23"/>
        <v>0.0012180034282512245</v>
      </c>
      <c r="R125" s="9">
        <f t="shared" si="24"/>
        <v>-0.032340054397506784</v>
      </c>
      <c r="S125" s="9">
        <f t="shared" si="25"/>
        <v>-0.01383167149269406</v>
      </c>
      <c r="T125" s="9">
        <f t="shared" si="28"/>
        <v>7.790319808245317E-06</v>
      </c>
      <c r="U125" s="10">
        <f t="shared" si="29"/>
        <v>0.0012371942547155035</v>
      </c>
      <c r="V125" s="8">
        <f t="shared" si="30"/>
        <v>-51.08444713302366</v>
      </c>
      <c r="W125" s="8">
        <f t="shared" si="31"/>
        <v>-29.075621054415283</v>
      </c>
      <c r="X125" s="8">
        <f t="shared" si="32"/>
        <v>-22.008826078608376</v>
      </c>
      <c r="Y125" s="8">
        <f t="shared" si="26"/>
        <v>0.10134163066106083</v>
      </c>
      <c r="AA125" s="21">
        <f>Y125-riaa_curve!G109</f>
        <v>0.0010283078679407254</v>
      </c>
      <c r="AB125" s="21">
        <f>Y125-riaa_curve!H109</f>
        <v>0.0011305385516955369</v>
      </c>
    </row>
    <row r="126" spans="14:28" ht="12.75">
      <c r="N126" s="13">
        <v>1039.68306733598</v>
      </c>
      <c r="O126" s="10">
        <f t="shared" si="27"/>
        <v>6532.521372808834</v>
      </c>
      <c r="P126" s="9">
        <f t="shared" si="22"/>
        <v>-0.0028847627183345133</v>
      </c>
      <c r="Q126" s="9">
        <f t="shared" si="23"/>
        <v>0.0013015180187594118</v>
      </c>
      <c r="R126" s="9">
        <f t="shared" si="24"/>
        <v>-0.03714896728693077</v>
      </c>
      <c r="S126" s="9">
        <f t="shared" si="25"/>
        <v>-0.017250473710507083</v>
      </c>
      <c r="T126" s="9">
        <f t="shared" si="28"/>
        <v>1.0015805094248153E-05</v>
      </c>
      <c r="U126" s="10">
        <f t="shared" si="29"/>
        <v>0.0016776246137223485</v>
      </c>
      <c r="V126" s="8">
        <f t="shared" si="30"/>
        <v>-49.99314135343322</v>
      </c>
      <c r="W126" s="8">
        <f t="shared" si="31"/>
        <v>-27.75305210627252</v>
      </c>
      <c r="X126" s="8">
        <f t="shared" si="32"/>
        <v>-22.240089247160697</v>
      </c>
      <c r="Y126" s="8">
        <f t="shared" si="26"/>
        <v>-0.12992153789125993</v>
      </c>
      <c r="AA126" s="21">
        <f>Y126-riaa_curve!G110</f>
        <v>-0.0016881860409085903</v>
      </c>
      <c r="AB126" s="21">
        <f>Y126-riaa_curve!H110</f>
        <v>-0.001828462841988454</v>
      </c>
    </row>
    <row r="127" spans="14:28" ht="12.75">
      <c r="N127" s="13">
        <v>1114.30472101904</v>
      </c>
      <c r="O127" s="10">
        <f t="shared" si="27"/>
        <v>7001.38305082768</v>
      </c>
      <c r="P127" s="9">
        <f t="shared" si="22"/>
        <v>-0.0033137221891076465</v>
      </c>
      <c r="Q127" s="9">
        <f t="shared" si="23"/>
        <v>0.001390123952256549</v>
      </c>
      <c r="R127" s="9">
        <f t="shared" si="24"/>
        <v>-0.04267295761233624</v>
      </c>
      <c r="S127" s="9">
        <f t="shared" si="25"/>
        <v>-0.021475424321523946</v>
      </c>
      <c r="T127" s="9">
        <f t="shared" si="28"/>
        <v>1.2913199349221741E-05</v>
      </c>
      <c r="U127" s="10">
        <f t="shared" si="29"/>
        <v>0.002282175161173748</v>
      </c>
      <c r="V127" s="8">
        <f t="shared" si="30"/>
        <v>-48.88966144443607</v>
      </c>
      <c r="W127" s="8">
        <f t="shared" si="31"/>
        <v>-26.416510257320844</v>
      </c>
      <c r="X127" s="8">
        <f t="shared" si="32"/>
        <v>-22.473151187115228</v>
      </c>
      <c r="Y127" s="8">
        <f t="shared" si="26"/>
        <v>-0.3629834778457912</v>
      </c>
      <c r="AA127" s="21">
        <f>Y127-riaa_curve!G111</f>
        <v>-0.005730274051241935</v>
      </c>
      <c r="AB127" s="21">
        <f>Y127-riaa_curve!H111</f>
        <v>-0.006149102090670766</v>
      </c>
    </row>
    <row r="128" spans="14:28" ht="12.75">
      <c r="N128" s="13">
        <v>1194.28222916711</v>
      </c>
      <c r="O128" s="10">
        <f t="shared" si="27"/>
        <v>7503.896554928469</v>
      </c>
      <c r="P128" s="9">
        <f t="shared" si="22"/>
        <v>-0.0038064672275450982</v>
      </c>
      <c r="Q128" s="9">
        <f t="shared" si="23"/>
        <v>0.0014839779775757268</v>
      </c>
      <c r="R128" s="9">
        <f t="shared" si="24"/>
        <v>-0.04901835621214847</v>
      </c>
      <c r="S128" s="9">
        <f t="shared" si="25"/>
        <v>-0.02669400203657716</v>
      </c>
      <c r="T128" s="9">
        <f t="shared" si="28"/>
        <v>1.669138339230461E-05</v>
      </c>
      <c r="U128" s="10">
        <f t="shared" si="29"/>
        <v>0.00311536899046986</v>
      </c>
      <c r="V128" s="8">
        <f t="shared" si="30"/>
        <v>-47.77507667230508</v>
      </c>
      <c r="W128" s="8">
        <f t="shared" si="31"/>
        <v>-25.06490507260232</v>
      </c>
      <c r="X128" s="8">
        <f t="shared" si="32"/>
        <v>-22.710171599702765</v>
      </c>
      <c r="Y128" s="8">
        <f t="shared" si="26"/>
        <v>-0.600003890433328</v>
      </c>
      <c r="AA128" s="21">
        <f>Y128-riaa_curve!G112</f>
        <v>-0.011084637439896738</v>
      </c>
      <c r="AB128" s="21">
        <f>Y128-riaa_curve!H112</f>
        <v>-0.011823414781741093</v>
      </c>
    </row>
    <row r="129" spans="14:28" ht="12.75">
      <c r="N129" s="13">
        <v>1280</v>
      </c>
      <c r="O129" s="10">
        <f t="shared" si="27"/>
        <v>8042.47719318987</v>
      </c>
      <c r="P129" s="9">
        <f t="shared" si="22"/>
        <v>-0.004372482642631204</v>
      </c>
      <c r="Q129" s="9">
        <f t="shared" si="23"/>
        <v>0.001583199860015799</v>
      </c>
      <c r="R129" s="9">
        <f t="shared" si="24"/>
        <v>-0.05630730514555397</v>
      </c>
      <c r="S129" s="9">
        <f t="shared" si="25"/>
        <v>-0.03313710218938813</v>
      </c>
      <c r="T129" s="9">
        <f t="shared" si="28"/>
        <v>2.1625126256865203E-05</v>
      </c>
      <c r="U129" s="10">
        <f t="shared" si="29"/>
        <v>0.00426858015426448</v>
      </c>
      <c r="V129" s="8">
        <f t="shared" si="30"/>
        <v>-46.650413482562215</v>
      </c>
      <c r="W129" s="8">
        <f t="shared" si="31"/>
        <v>-23.697165590992995</v>
      </c>
      <c r="X129" s="8">
        <f t="shared" si="32"/>
        <v>-22.95324789156922</v>
      </c>
      <c r="Y129" s="8">
        <f t="shared" si="26"/>
        <v>-0.8430801822997829</v>
      </c>
      <c r="AA129" s="21">
        <f>Y129-riaa_curve!G113</f>
        <v>-0.017713174640867635</v>
      </c>
      <c r="AB129" s="21">
        <f>Y129-riaa_curve!H113</f>
        <v>-0.01881944813338876</v>
      </c>
    </row>
    <row r="130" spans="14:28" ht="12.75">
      <c r="N130" s="13">
        <v>1371.87003204645</v>
      </c>
      <c r="O130" s="10">
        <f t="shared" si="27"/>
        <v>8619.713628714242</v>
      </c>
      <c r="P130" s="9">
        <f t="shared" si="22"/>
        <v>-0.005022663618843513</v>
      </c>
      <c r="Q130" s="9">
        <f t="shared" si="23"/>
        <v>0.0016878585778990684</v>
      </c>
      <c r="R130" s="9">
        <f t="shared" si="24"/>
        <v>-0.06468010879501342</v>
      </c>
      <c r="S130" s="9">
        <f t="shared" si="25"/>
        <v>-0.04108907812939217</v>
      </c>
      <c r="T130" s="9">
        <f t="shared" si="28"/>
        <v>2.807601640704168E-05</v>
      </c>
      <c r="U130" s="10">
        <f t="shared" si="29"/>
        <v>0.005871828815258066</v>
      </c>
      <c r="V130" s="8">
        <f t="shared" si="30"/>
        <v>-45.516645124670625</v>
      </c>
      <c r="W130" s="8">
        <f t="shared" si="31"/>
        <v>-22.312266141397554</v>
      </c>
      <c r="X130" s="8">
        <f t="shared" si="32"/>
        <v>-23.20437898327307</v>
      </c>
      <c r="Y130" s="8">
        <f t="shared" si="26"/>
        <v>-1.0942112740036336</v>
      </c>
      <c r="AA130" s="21">
        <f>Y130-riaa_curve!G114</f>
        <v>-0.02555296963431175</v>
      </c>
      <c r="AB130" s="21">
        <f>Y130-riaa_curve!H114</f>
        <v>-0.027081346977002596</v>
      </c>
    </row>
    <row r="131" spans="14:28" ht="12.75">
      <c r="N131" s="13">
        <v>1470.3338943962</v>
      </c>
      <c r="O131" s="10">
        <f t="shared" si="27"/>
        <v>9238.380321918346</v>
      </c>
      <c r="P131" s="9">
        <f t="shared" si="22"/>
        <v>-0.005769525436669007</v>
      </c>
      <c r="Q131" s="9">
        <f t="shared" si="23"/>
        <v>0.0017979549513778249</v>
      </c>
      <c r="R131" s="9">
        <f t="shared" si="24"/>
        <v>-0.07429793457386129</v>
      </c>
      <c r="S131" s="9">
        <f t="shared" si="25"/>
        <v>-0.05090010404867008</v>
      </c>
      <c r="T131" s="9">
        <f t="shared" si="28"/>
        <v>3.652006577155472E-05</v>
      </c>
      <c r="U131" s="10">
        <f t="shared" si="29"/>
        <v>0.008111003674107213</v>
      </c>
      <c r="V131" s="8">
        <f t="shared" si="30"/>
        <v>-44.374684489855596</v>
      </c>
      <c r="W131" s="8">
        <f t="shared" si="31"/>
        <v>-20.909254018731524</v>
      </c>
      <c r="X131" s="8">
        <f t="shared" si="32"/>
        <v>-23.465430471124073</v>
      </c>
      <c r="Y131" s="8">
        <f t="shared" si="26"/>
        <v>-1.355262761854636</v>
      </c>
      <c r="AA131" s="21">
        <f>Y131-riaa_curve!G115</f>
        <v>-0.034516760920372036</v>
      </c>
      <c r="AB131" s="21">
        <f>Y131-riaa_curve!H115</f>
        <v>-0.03652995763705036</v>
      </c>
    </row>
    <row r="132" spans="14:28" ht="12.75">
      <c r="N132" s="13">
        <v>1575.86484908149</v>
      </c>
      <c r="O132" s="10">
        <f t="shared" si="27"/>
        <v>9901.450865849594</v>
      </c>
      <c r="P132" s="9">
        <f t="shared" si="22"/>
        <v>-0.006627444378215257</v>
      </c>
      <c r="Q132" s="9">
        <f t="shared" si="23"/>
        <v>0.0019133998517534162</v>
      </c>
      <c r="R132" s="9">
        <f t="shared" si="24"/>
        <v>-0.08534591522467203</v>
      </c>
      <c r="S132" s="9">
        <f t="shared" si="25"/>
        <v>-0.06300139585979753</v>
      </c>
      <c r="T132" s="9">
        <f t="shared" si="28"/>
        <v>4.758411797902701E-05</v>
      </c>
      <c r="U132" s="10">
        <f t="shared" si="29"/>
        <v>0.011253101125819818</v>
      </c>
      <c r="V132" s="8">
        <f t="shared" si="30"/>
        <v>-43.22537976376513</v>
      </c>
      <c r="W132" s="8">
        <f t="shared" si="31"/>
        <v>-19.48727778331411</v>
      </c>
      <c r="X132" s="8">
        <f t="shared" si="32"/>
        <v>-23.738101980451024</v>
      </c>
      <c r="Y132" s="8">
        <f t="shared" si="26"/>
        <v>-1.6279342711815872</v>
      </c>
      <c r="AA132" s="21">
        <f>Y132-riaa_curve!G116</f>
        <v>-0.04449410129985765</v>
      </c>
      <c r="AB132" s="21">
        <f>Y132-riaa_curve!H116</f>
        <v>-0.04706414244969537</v>
      </c>
    </row>
    <row r="133" spans="14:28" ht="12.75">
      <c r="N133" s="13">
        <v>1688.9701257893</v>
      </c>
      <c r="O133" s="10">
        <f t="shared" si="27"/>
        <v>10612.112278624587</v>
      </c>
      <c r="P133" s="9">
        <f t="shared" si="22"/>
        <v>-0.007612934455090198</v>
      </c>
      <c r="Q133" s="9">
        <f t="shared" si="23"/>
        <v>0.002033986940755059</v>
      </c>
      <c r="R133" s="9">
        <f t="shared" si="24"/>
        <v>-0.09803671242429696</v>
      </c>
      <c r="S133" s="9">
        <f t="shared" si="25"/>
        <v>-0.07792395077961199</v>
      </c>
      <c r="T133" s="9">
        <f t="shared" si="28"/>
        <v>6.209387389266162E-05</v>
      </c>
      <c r="U133" s="10">
        <f t="shared" si="29"/>
        <v>0.015683339088067693</v>
      </c>
      <c r="V133" s="8">
        <f t="shared" si="30"/>
        <v>-42.06951244684142</v>
      </c>
      <c r="W133" s="8">
        <f t="shared" si="31"/>
        <v>-18.045614675993885</v>
      </c>
      <c r="X133" s="8">
        <f t="shared" si="32"/>
        <v>-24.023897770847537</v>
      </c>
      <c r="Y133" s="8">
        <f t="shared" si="26"/>
        <v>-1.9137300615781</v>
      </c>
      <c r="AA133" s="21">
        <f>Y133-riaa_curve!G117</f>
        <v>-0.055353376736299253</v>
      </c>
      <c r="AB133" s="21">
        <f>Y133-riaa_curve!H117</f>
        <v>-0.05856297607094518</v>
      </c>
    </row>
    <row r="134" spans="14:28" ht="12.75">
      <c r="N134" s="13">
        <v>1810.19335983756</v>
      </c>
      <c r="O134" s="10">
        <f t="shared" si="27"/>
        <v>11373.780321685406</v>
      </c>
      <c r="P134" s="9">
        <f t="shared" si="22"/>
        <v>-0.008744965285262392</v>
      </c>
      <c r="Q134" s="9">
        <f t="shared" si="23"/>
        <v>0.0021593586443134504</v>
      </c>
      <c r="R134" s="9">
        <f t="shared" si="24"/>
        <v>-0.11261461029110771</v>
      </c>
      <c r="S134" s="9">
        <f t="shared" si="25"/>
        <v>-0.09632161898291927</v>
      </c>
      <c r="T134" s="9">
        <f t="shared" si="28"/>
        <v>8.113724759521556E-05</v>
      </c>
      <c r="U134" s="10">
        <f t="shared" si="29"/>
        <v>0.021959904734508737</v>
      </c>
      <c r="V134" s="8">
        <f t="shared" si="30"/>
        <v>-40.907797288782355</v>
      </c>
      <c r="W134" s="8">
        <f t="shared" si="31"/>
        <v>-16.583695482550475</v>
      </c>
      <c r="X134" s="8">
        <f t="shared" si="32"/>
        <v>-24.32410180623188</v>
      </c>
      <c r="Y134" s="8">
        <f t="shared" si="26"/>
        <v>-2.2139340969624435</v>
      </c>
      <c r="AA134" s="21">
        <f>Y134-riaa_curve!G118</f>
        <v>-0.06694478698773665</v>
      </c>
      <c r="AB134" s="21">
        <f>Y134-riaa_curve!H118</f>
        <v>-0.07088892954358883</v>
      </c>
    </row>
    <row r="135" spans="14:28" ht="12.75">
      <c r="N135" s="13">
        <v>1940.1172051333</v>
      </c>
      <c r="O135" s="10">
        <f t="shared" si="27"/>
        <v>12190.115917499874</v>
      </c>
      <c r="P135" s="9">
        <f t="shared" si="22"/>
        <v>-0.010045327237687007</v>
      </c>
      <c r="Q135" s="9">
        <f t="shared" si="23"/>
        <v>0.002288963763692988</v>
      </c>
      <c r="R135" s="9">
        <f t="shared" si="24"/>
        <v>-0.12936021759002658</v>
      </c>
      <c r="S135" s="9">
        <f t="shared" si="25"/>
        <v>-0.11899950869720592</v>
      </c>
      <c r="T135" s="9">
        <f t="shared" si="28"/>
        <v>0.00010614795442371604</v>
      </c>
      <c r="U135" s="10">
        <f t="shared" si="29"/>
        <v>0.03089494896511541</v>
      </c>
      <c r="V135" s="8">
        <f t="shared" si="30"/>
        <v>-39.740883707024324</v>
      </c>
      <c r="W135" s="8">
        <f t="shared" si="31"/>
        <v>-15.10112517853095</v>
      </c>
      <c r="X135" s="8">
        <f t="shared" si="32"/>
        <v>-24.639758528493374</v>
      </c>
      <c r="Y135" s="8">
        <f t="shared" si="26"/>
        <v>-2.5295908192239374</v>
      </c>
      <c r="AA135" s="21">
        <f>Y135-riaa_curve!G119</f>
        <v>-0.07910428807776171</v>
      </c>
      <c r="AB135" s="21">
        <f>Y135-riaa_curve!H119</f>
        <v>-0.08389204593091293</v>
      </c>
    </row>
    <row r="136" spans="14:28" ht="12.75">
      <c r="N136" s="13">
        <v>2079.36613467196</v>
      </c>
      <c r="O136" s="10">
        <f t="shared" si="27"/>
        <v>13065.042745617668</v>
      </c>
      <c r="P136" s="9">
        <f t="shared" si="22"/>
        <v>-0.011539050873338053</v>
      </c>
      <c r="Q136" s="9">
        <f t="shared" si="23"/>
        <v>0.0024220047552855014</v>
      </c>
      <c r="R136" s="9">
        <f t="shared" si="24"/>
        <v>-0.14859586914772308</v>
      </c>
      <c r="S136" s="9">
        <f t="shared" si="25"/>
        <v>-0.1469489575734656</v>
      </c>
      <c r="T136" s="9">
        <f t="shared" si="28"/>
        <v>0.00013901580209210927</v>
      </c>
      <c r="U136" s="10">
        <f t="shared" si="29"/>
        <v>0.04367472845969543</v>
      </c>
      <c r="V136" s="8">
        <f t="shared" si="30"/>
        <v>-38.569358301679074</v>
      </c>
      <c r="W136" s="8">
        <f t="shared" si="31"/>
        <v>-13.597697864897938</v>
      </c>
      <c r="X136" s="8">
        <f t="shared" si="32"/>
        <v>-24.971660436781136</v>
      </c>
      <c r="Y136" s="8">
        <f t="shared" si="26"/>
        <v>-2.861492727511699</v>
      </c>
      <c r="AA136" s="21">
        <f>Y136-riaa_curve!G120</f>
        <v>-0.09165837241206631</v>
      </c>
      <c r="AB136" s="21">
        <f>Y136-riaa_curve!H120</f>
        <v>-0.09741498757776768</v>
      </c>
    </row>
    <row r="137" spans="14:28" ht="12.75">
      <c r="N137" s="13">
        <v>2228.60944203807</v>
      </c>
      <c r="O137" s="10">
        <f t="shared" si="27"/>
        <v>14002.766101655297</v>
      </c>
      <c r="P137" s="9">
        <f t="shared" si="22"/>
        <v>-0.013254888756430468</v>
      </c>
      <c r="Q137" s="9">
        <f t="shared" si="23"/>
        <v>0.0025573722527508667</v>
      </c>
      <c r="R137" s="9">
        <f t="shared" si="24"/>
        <v>-0.17069183044934347</v>
      </c>
      <c r="S137" s="9">
        <f t="shared" si="25"/>
        <v>-0.18139058813398942</v>
      </c>
      <c r="T137" s="9">
        <f t="shared" si="28"/>
        <v>0.0001822322287844869</v>
      </c>
      <c r="U137" s="10">
        <f t="shared" si="29"/>
        <v>0.062038246445742004</v>
      </c>
      <c r="V137" s="8">
        <f t="shared" si="30"/>
        <v>-37.3937481317266</v>
      </c>
      <c r="W137" s="8">
        <f t="shared" si="31"/>
        <v>-12.073404863210513</v>
      </c>
      <c r="X137" s="8">
        <f t="shared" si="32"/>
        <v>-25.32034326851609</v>
      </c>
      <c r="Y137" s="8">
        <f t="shared" si="26"/>
        <v>-3.210175559246654</v>
      </c>
      <c r="AA137" s="21">
        <f>Y137-riaa_curve!G121</f>
        <v>-0.10442943833437468</v>
      </c>
      <c r="AB137" s="21">
        <f>Y137-riaa_curve!H121</f>
        <v>-0.1112987116274553</v>
      </c>
    </row>
    <row r="138" spans="14:28" ht="12.75">
      <c r="N138" s="13">
        <v>2388.56445833422</v>
      </c>
      <c r="O138" s="10">
        <f t="shared" si="27"/>
        <v>15007.793109856939</v>
      </c>
      <c r="P138" s="9">
        <f t="shared" si="22"/>
        <v>-0.015225868910180393</v>
      </c>
      <c r="Q138" s="9">
        <f t="shared" si="23"/>
        <v>0.002693563841613789</v>
      </c>
      <c r="R138" s="9">
        <f t="shared" si="24"/>
        <v>-0.19607342484859389</v>
      </c>
      <c r="S138" s="9">
        <f t="shared" si="25"/>
        <v>-0.2238273159323536</v>
      </c>
      <c r="T138" s="9">
        <f t="shared" si="28"/>
        <v>0.0002390823702388471</v>
      </c>
      <c r="U138" s="10">
        <f t="shared" si="29"/>
        <v>0.08854345528933882</v>
      </c>
      <c r="V138" s="8">
        <f t="shared" si="30"/>
        <v>-36.21452447264701</v>
      </c>
      <c r="W138" s="8">
        <f t="shared" si="31"/>
        <v>-10.52843534268023</v>
      </c>
      <c r="X138" s="8">
        <f t="shared" si="32"/>
        <v>-25.686089129966774</v>
      </c>
      <c r="Y138" s="8">
        <f t="shared" si="26"/>
        <v>-3.5759214206973375</v>
      </c>
      <c r="AA138" s="21">
        <f>Y138-riaa_curve!G122</f>
        <v>-0.11724140111458325</v>
      </c>
      <c r="AB138" s="21">
        <f>Y138-riaa_curve!H122</f>
        <v>-0.12538843127151367</v>
      </c>
    </row>
    <row r="139" spans="14:28" ht="12.75">
      <c r="N139" s="13">
        <v>2559.99999999999</v>
      </c>
      <c r="O139" s="10">
        <f t="shared" si="27"/>
        <v>16084.954386379677</v>
      </c>
      <c r="P139" s="9">
        <f t="shared" si="22"/>
        <v>-0.017489930570524677</v>
      </c>
      <c r="Q139" s="9">
        <f t="shared" si="23"/>
        <v>0.0028285834023837877</v>
      </c>
      <c r="R139" s="9">
        <f t="shared" si="24"/>
        <v>-0.2252292205822141</v>
      </c>
      <c r="S139" s="9">
        <f t="shared" si="25"/>
        <v>-0.27610961098857995</v>
      </c>
      <c r="T139" s="9">
        <f t="shared" si="28"/>
        <v>0.0003138985554260147</v>
      </c>
      <c r="U139" s="10">
        <f t="shared" si="29"/>
        <v>0.1269647190843366</v>
      </c>
      <c r="V139" s="8">
        <f t="shared" si="30"/>
        <v>-35.032106829363194</v>
      </c>
      <c r="W139" s="8">
        <f t="shared" si="31"/>
        <v>-8.96316943891845</v>
      </c>
      <c r="X139" s="8">
        <f t="shared" si="32"/>
        <v>-26.068937390444745</v>
      </c>
      <c r="Y139" s="8">
        <f t="shared" si="26"/>
        <v>-3.9587696811753084</v>
      </c>
      <c r="AA139" s="21">
        <f>Y139-riaa_curve!G123</f>
        <v>-0.12992514214689166</v>
      </c>
      <c r="AB139" s="21">
        <f>Y139-riaa_curve!H123</f>
        <v>-0.1395394657194906</v>
      </c>
    </row>
    <row r="140" spans="14:28" ht="12.75">
      <c r="N140" s="13">
        <v>2743.7400640929</v>
      </c>
      <c r="O140" s="10">
        <f t="shared" si="27"/>
        <v>17239.427257428484</v>
      </c>
      <c r="P140" s="9">
        <f t="shared" si="22"/>
        <v>-0.020090654475374052</v>
      </c>
      <c r="Q140" s="9">
        <f t="shared" si="23"/>
        <v>0.002959816483589298</v>
      </c>
      <c r="R140" s="9">
        <f t="shared" si="24"/>
        <v>-0.25872043518005367</v>
      </c>
      <c r="S140" s="9">
        <f t="shared" si="25"/>
        <v>-0.34051584482840414</v>
      </c>
      <c r="T140" s="9">
        <f t="shared" si="28"/>
        <v>0.00041239491086539435</v>
      </c>
      <c r="U140" s="10">
        <f t="shared" si="29"/>
        <v>0.18288730415895815</v>
      </c>
      <c r="V140" s="8">
        <f t="shared" si="30"/>
        <v>-33.84686702740398</v>
      </c>
      <c r="W140" s="8">
        <f t="shared" si="31"/>
        <v>-7.37816441735622</v>
      </c>
      <c r="X140" s="8">
        <f t="shared" si="32"/>
        <v>-26.46870261004776</v>
      </c>
      <c r="Y140" s="8">
        <f t="shared" si="26"/>
        <v>-4.358534900778324</v>
      </c>
      <c r="AA140" s="21">
        <f>Y140-riaa_curve!G124</f>
        <v>-0.1423233941323474</v>
      </c>
      <c r="AB140" s="21">
        <f>Y140-riaa_curve!H124</f>
        <v>-0.15362258367674286</v>
      </c>
    </row>
    <row r="141" spans="14:28" ht="12.75">
      <c r="N141" s="13">
        <v>2940.6677887924</v>
      </c>
      <c r="O141" s="10">
        <f t="shared" si="27"/>
        <v>18476.760643836693</v>
      </c>
      <c r="P141" s="9">
        <f t="shared" si="22"/>
        <v>-0.023078101746676027</v>
      </c>
      <c r="Q141" s="9">
        <f t="shared" si="23"/>
        <v>0.003083876113659341</v>
      </c>
      <c r="R141" s="9">
        <f t="shared" si="24"/>
        <v>-0.29719173829544515</v>
      </c>
      <c r="S141" s="9">
        <f t="shared" si="25"/>
        <v>-0.4198512101362671</v>
      </c>
      <c r="T141" s="9">
        <f t="shared" si="28"/>
        <v>0.0005421090721143296</v>
      </c>
      <c r="U141" s="10">
        <f t="shared" si="29"/>
        <v>0.2645979679639563</v>
      </c>
      <c r="V141" s="8">
        <f t="shared" si="30"/>
        <v>-32.659133248053216</v>
      </c>
      <c r="W141" s="8">
        <f t="shared" si="31"/>
        <v>-5.7741349539201545</v>
      </c>
      <c r="X141" s="8">
        <f t="shared" si="32"/>
        <v>-26.884998294133062</v>
      </c>
      <c r="Y141" s="8">
        <f t="shared" si="26"/>
        <v>-4.774830584863626</v>
      </c>
      <c r="AA141" s="21">
        <f>Y141-riaa_curve!G125</f>
        <v>-0.15429471708700504</v>
      </c>
      <c r="AB141" s="21">
        <f>Y141-riaa_curve!H125</f>
        <v>-0.16752850307177525</v>
      </c>
    </row>
    <row r="142" spans="14:28" ht="12.75">
      <c r="N142" s="13">
        <v>3151.72969816298</v>
      </c>
      <c r="O142" s="10">
        <f t="shared" si="27"/>
        <v>19802.90173169919</v>
      </c>
      <c r="P142" s="9">
        <f t="shared" si="22"/>
        <v>-0.02650977751286103</v>
      </c>
      <c r="Q142" s="9">
        <f t="shared" si="23"/>
        <v>0.003196412164617081</v>
      </c>
      <c r="R142" s="9">
        <f t="shared" si="24"/>
        <v>-0.3413836608986881</v>
      </c>
      <c r="S142" s="9">
        <f t="shared" si="25"/>
        <v>-0.5175695060385741</v>
      </c>
      <c r="T142" s="9">
        <f t="shared" si="28"/>
        <v>0.0007129853545075044</v>
      </c>
      <c r="U142" s="10">
        <f t="shared" si="29"/>
        <v>0.38442099750960407</v>
      </c>
      <c r="V142" s="8">
        <f t="shared" si="30"/>
        <v>-31.469193909362136</v>
      </c>
      <c r="W142" s="8">
        <f t="shared" si="31"/>
        <v>-4.151928986998961</v>
      </c>
      <c r="X142" s="8">
        <f t="shared" si="32"/>
        <v>-27.317264922363176</v>
      </c>
      <c r="Y142" s="8">
        <f t="shared" si="26"/>
        <v>-5.207097213093739</v>
      </c>
      <c r="AA142" s="21">
        <f>Y142-riaa_curve!G126</f>
        <v>-0.16571632151053706</v>
      </c>
      <c r="AB142" s="21">
        <f>Y142-riaa_curve!H126</f>
        <v>-0.18117131223888094</v>
      </c>
    </row>
    <row r="143" spans="14:28" ht="12.75">
      <c r="N143" s="13">
        <v>3377.9402515786</v>
      </c>
      <c r="O143" s="10">
        <f t="shared" si="27"/>
        <v>21224.224557249174</v>
      </c>
      <c r="P143" s="9">
        <f t="shared" si="22"/>
        <v>-0.030451737820360793</v>
      </c>
      <c r="Q143" s="9">
        <f t="shared" si="23"/>
        <v>0.0032918757847637515</v>
      </c>
      <c r="R143" s="9">
        <f t="shared" si="24"/>
        <v>-0.3921468496971878</v>
      </c>
      <c r="S143" s="9">
        <f t="shared" si="25"/>
        <v>-0.6379230743448584</v>
      </c>
      <c r="T143" s="9">
        <f t="shared" si="28"/>
        <v>0.0009381447824623058</v>
      </c>
      <c r="U143" s="10">
        <f t="shared" si="29"/>
        <v>0.5607250005090245</v>
      </c>
      <c r="V143" s="8">
        <f t="shared" si="30"/>
        <v>-30.277301324394266</v>
      </c>
      <c r="W143" s="8">
        <f t="shared" si="31"/>
        <v>-2.512500799973461</v>
      </c>
      <c r="X143" s="8">
        <f t="shared" si="32"/>
        <v>-27.764800524420806</v>
      </c>
      <c r="Y143" s="8">
        <f t="shared" si="26"/>
        <v>-5.65463281515137</v>
      </c>
      <c r="AA143" s="21">
        <f>Y143-riaa_curve!G127</f>
        <v>-0.1764856211923771</v>
      </c>
      <c r="AB143" s="21">
        <f>Y143-riaa_curve!H127</f>
        <v>-0.19449070495532084</v>
      </c>
    </row>
    <row r="144" spans="14:28" ht="12.75">
      <c r="N144" s="13">
        <v>3620.38671967511</v>
      </c>
      <c r="O144" s="10">
        <f t="shared" si="27"/>
        <v>22747.56064337075</v>
      </c>
      <c r="P144" s="9">
        <f t="shared" si="22"/>
        <v>-0.034979861141049375</v>
      </c>
      <c r="Q144" s="9">
        <f t="shared" si="23"/>
        <v>0.0033632284526099805</v>
      </c>
      <c r="R144" s="9">
        <f t="shared" si="24"/>
        <v>-0.4504584411644284</v>
      </c>
      <c r="S144" s="9">
        <f t="shared" si="25"/>
        <v>-0.7861473937531545</v>
      </c>
      <c r="T144" s="9">
        <f t="shared" si="28"/>
        <v>0.0012349019910715415</v>
      </c>
      <c r="U144" s="10">
        <f t="shared" si="29"/>
        <v>0.8209405319211641</v>
      </c>
      <c r="V144" s="8">
        <f t="shared" si="30"/>
        <v>-29.08367509145897</v>
      </c>
      <c r="W144" s="8">
        <f t="shared" si="31"/>
        <v>-0.8568830158201279</v>
      </c>
      <c r="X144" s="8">
        <f t="shared" si="32"/>
        <v>-28.226792075638844</v>
      </c>
      <c r="Y144" s="8">
        <f t="shared" si="26"/>
        <v>-6.1166243663694075</v>
      </c>
      <c r="AA144" s="21">
        <f>Y144-riaa_curve!G128</f>
        <v>-0.18652052631117044</v>
      </c>
      <c r="AB144" s="21">
        <f>Y144-riaa_curve!H128</f>
        <v>-0.2074530510367225</v>
      </c>
    </row>
    <row r="145" spans="14:28" ht="12.75">
      <c r="N145" s="13">
        <v>3880.23441026661</v>
      </c>
      <c r="O145" s="10">
        <f t="shared" si="27"/>
        <v>24380.231834999813</v>
      </c>
      <c r="P145" s="9">
        <f aca="true" t="shared" si="33" ref="P145:P176">-O145*O145*$F$4*($F$6*$F$12+$F$5*$F$10)</f>
        <v>-0.04018130895074824</v>
      </c>
      <c r="Q145" s="9">
        <f aca="true" t="shared" si="34" ref="Q145:Q176">O145*$F$4*(1-O145*O145*$F$5*$F$6*$F$10*$F$12)</f>
        <v>0.0034015827849103266</v>
      </c>
      <c r="R145" s="9">
        <f aca="true" t="shared" si="35" ref="R145:R176">-O145*O145*(($F$5*$F$6*($F$10+$F$11+$F$12))+$F$4*($F$5*$F$10+$F$6*$F$11+$F$6*$F$12+$F$5*$F$9+$F$6*$F$9))</f>
        <v>-0.5174408703601091</v>
      </c>
      <c r="S145" s="9">
        <f aca="true" t="shared" si="36" ref="S145:S176">O145*($F$4-$F$4*O145*O145*$F$5*$F$6*($F$10*$F$12+$F$10*$F$11+$F$9*$F$10+$F$9*$F$11+$F$9*$F$12)+$F$5+$F$6)</f>
        <v>-0.9686883430889641</v>
      </c>
      <c r="T145" s="9">
        <f t="shared" si="28"/>
        <v>0.0016261083544380792</v>
      </c>
      <c r="U145" s="10">
        <f t="shared" si="29"/>
        <v>1.2061021603554698</v>
      </c>
      <c r="V145" s="8">
        <f t="shared" si="30"/>
        <v>-27.888505189100407</v>
      </c>
      <c r="W145" s="8">
        <f t="shared" si="31"/>
        <v>0.8138409536595765</v>
      </c>
      <c r="X145" s="8">
        <f t="shared" si="32"/>
        <v>-28.702346142759982</v>
      </c>
      <c r="Y145" s="8">
        <f aca="true" t="shared" si="37" ref="Y145:Y176">X145-$X$45</f>
        <v>-6.592178433490545</v>
      </c>
      <c r="AA145" s="21">
        <f>Y145-riaa_curve!G129</f>
        <v>-0.19575859766170822</v>
      </c>
      <c r="AB145" s="21">
        <f>Y145-riaa_curve!H129</f>
        <v>-0.22005143555882611</v>
      </c>
    </row>
    <row r="146" spans="14:28" ht="12.75">
      <c r="N146" s="13">
        <v>4158.73226934392</v>
      </c>
      <c r="O146" s="10">
        <f aca="true" t="shared" si="38" ref="O146:O177">(2*PI()*N146)</f>
        <v>26130.085491235335</v>
      </c>
      <c r="P146" s="9">
        <f t="shared" si="33"/>
        <v>-0.04615620349335221</v>
      </c>
      <c r="Q146" s="9">
        <f t="shared" si="34"/>
        <v>0.003395759252704427</v>
      </c>
      <c r="R146" s="9">
        <f t="shared" si="35"/>
        <v>-0.5943834765908923</v>
      </c>
      <c r="S146" s="9">
        <f t="shared" si="36"/>
        <v>-1.1934819963665428</v>
      </c>
      <c r="T146" s="9">
        <f aca="true" t="shared" si="39" ref="T146:T177">P146*P146+Q146*Q146</f>
        <v>0.0021419263018220666</v>
      </c>
      <c r="U146" s="10">
        <f aca="true" t="shared" si="40" ref="U146:U177">R146*R146+S146*S146</f>
        <v>1.7776909928953444</v>
      </c>
      <c r="V146" s="8">
        <f aca="true" t="shared" si="41" ref="V146:V177">10*LOG10(T146)</f>
        <v>-26.69195476203804</v>
      </c>
      <c r="W146" s="8">
        <f aca="true" t="shared" si="42" ref="W146:W177">10*LOG10(U146)</f>
        <v>2.4985627196411144</v>
      </c>
      <c r="X146" s="8">
        <f aca="true" t="shared" si="43" ref="X146:X177">V146-W146</f>
        <v>-29.190517481679155</v>
      </c>
      <c r="Y146" s="8">
        <f t="shared" si="37"/>
        <v>-7.080349772409718</v>
      </c>
      <c r="AA146" s="21">
        <f>Y146-riaa_curve!G130</f>
        <v>-0.20415526148024554</v>
      </c>
      <c r="AB146" s="21">
        <f>Y146-riaa_curve!H130</f>
        <v>-0.23230487963427038</v>
      </c>
    </row>
    <row r="147" spans="14:28" ht="12.75">
      <c r="N147" s="13">
        <v>4457.21888407614</v>
      </c>
      <c r="O147" s="10">
        <f t="shared" si="38"/>
        <v>28005.532203310595</v>
      </c>
      <c r="P147" s="9">
        <f t="shared" si="33"/>
        <v>-0.05301955502572187</v>
      </c>
      <c r="Q147" s="9">
        <f t="shared" si="34"/>
        <v>0.003331739291403975</v>
      </c>
      <c r="R147" s="9">
        <f t="shared" si="35"/>
        <v>-0.6827673217973739</v>
      </c>
      <c r="S147" s="9">
        <f t="shared" si="36"/>
        <v>-1.4702990921955161</v>
      </c>
      <c r="T147" s="9">
        <f t="shared" si="39"/>
        <v>0.002822173701831435</v>
      </c>
      <c r="U147" s="10">
        <f t="shared" si="40"/>
        <v>2.627950636225318</v>
      </c>
      <c r="V147" s="8">
        <f t="shared" si="41"/>
        <v>-25.494162593891538</v>
      </c>
      <c r="W147" s="8">
        <f t="shared" si="42"/>
        <v>4.196172031189836</v>
      </c>
      <c r="X147" s="8">
        <f t="shared" si="43"/>
        <v>-29.690334625081373</v>
      </c>
      <c r="Y147" s="8">
        <f t="shared" si="37"/>
        <v>-7.580166915811937</v>
      </c>
      <c r="AA147" s="21">
        <f>Y147-riaa_curve!G131</f>
        <v>-0.21168132597111367</v>
      </c>
      <c r="AB147" s="21">
        <f>Y147-riaa_curve!H131</f>
        <v>-0.24425699853229332</v>
      </c>
    </row>
    <row r="148" spans="14:28" ht="12.75">
      <c r="N148" s="13">
        <v>4777.12891666844</v>
      </c>
      <c r="O148" s="10">
        <f t="shared" si="38"/>
        <v>30015.586219713878</v>
      </c>
      <c r="P148" s="9">
        <f t="shared" si="33"/>
        <v>-0.06090347564072157</v>
      </c>
      <c r="Q148" s="9">
        <f t="shared" si="34"/>
        <v>0.003191990774926263</v>
      </c>
      <c r="R148" s="9">
        <f t="shared" si="35"/>
        <v>-0.7842936993943755</v>
      </c>
      <c r="S148" s="9">
        <f t="shared" si="36"/>
        <v>-1.8111691267383019</v>
      </c>
      <c r="T148" s="9">
        <f t="shared" si="39"/>
        <v>0.00371942215022718</v>
      </c>
      <c r="U148" s="10">
        <f t="shared" si="40"/>
        <v>3.895450212559698</v>
      </c>
      <c r="V148" s="8">
        <f t="shared" si="41"/>
        <v>-24.295245269087058</v>
      </c>
      <c r="W148" s="8">
        <f t="shared" si="42"/>
        <v>5.905576580371164</v>
      </c>
      <c r="X148" s="8">
        <f t="shared" si="43"/>
        <v>-30.200821849458222</v>
      </c>
      <c r="Y148" s="8">
        <f t="shared" si="37"/>
        <v>-8.090654140188786</v>
      </c>
      <c r="AA148" s="21">
        <f>Y148-riaa_curve!G132</f>
        <v>-0.21832004719654208</v>
      </c>
      <c r="AB148" s="21">
        <f>Y148-riaa_curve!H132</f>
        <v>-0.25597436066622237</v>
      </c>
    </row>
    <row r="149" spans="14:28" ht="12.75">
      <c r="N149" s="13">
        <v>5119.99999999999</v>
      </c>
      <c r="O149" s="10">
        <f t="shared" si="38"/>
        <v>32169.90877275942</v>
      </c>
      <c r="P149" s="9">
        <f t="shared" si="33"/>
        <v>-0.06995972228209899</v>
      </c>
      <c r="Q149" s="9">
        <f t="shared" si="34"/>
        <v>0.0029546362635851794</v>
      </c>
      <c r="R149" s="9">
        <f t="shared" si="35"/>
        <v>-0.90091688232886</v>
      </c>
      <c r="S149" s="9">
        <f t="shared" si="36"/>
        <v>-2.23090247485561</v>
      </c>
      <c r="T149" s="9">
        <f t="shared" si="39"/>
        <v>0.00490309261723851</v>
      </c>
      <c r="U149" s="10">
        <f t="shared" si="40"/>
        <v>5.788577081182038</v>
      </c>
      <c r="V149" s="8">
        <f t="shared" si="41"/>
        <v>-23.095299030467622</v>
      </c>
      <c r="W149" s="8">
        <f t="shared" si="42"/>
        <v>7.625718207676381</v>
      </c>
      <c r="X149" s="8">
        <f t="shared" si="43"/>
        <v>-30.721017238144004</v>
      </c>
      <c r="Y149" s="8">
        <f t="shared" si="37"/>
        <v>-8.610849528874567</v>
      </c>
      <c r="AA149" s="21">
        <f>Y149-riaa_curve!G133</f>
        <v>-0.22406397060040106</v>
      </c>
      <c r="AB149" s="21">
        <f>Y149-riaa_curve!H133</f>
        <v>-0.2675447906404109</v>
      </c>
    </row>
    <row r="150" spans="14:28" ht="12.75">
      <c r="N150" s="13">
        <v>5487.48012818581</v>
      </c>
      <c r="O150" s="10">
        <f t="shared" si="38"/>
        <v>34478.854514857034</v>
      </c>
      <c r="P150" s="9">
        <f t="shared" si="33"/>
        <v>-0.08036261790149651</v>
      </c>
      <c r="Q150" s="9">
        <f t="shared" si="34"/>
        <v>0.002592427589507874</v>
      </c>
      <c r="R150" s="9">
        <f t="shared" si="35"/>
        <v>-1.0348817407202187</v>
      </c>
      <c r="S150" s="9">
        <f t="shared" si="36"/>
        <v>-2.747733198213782</v>
      </c>
      <c r="T150" s="9">
        <f t="shared" si="39"/>
        <v>0.00646487103678877</v>
      </c>
      <c r="U150" s="10">
        <f t="shared" si="40"/>
        <v>8.62101794584225</v>
      </c>
      <c r="V150" s="8">
        <f t="shared" si="41"/>
        <v>-21.894401341354254</v>
      </c>
      <c r="W150" s="8">
        <f t="shared" si="42"/>
        <v>9.355585491380378</v>
      </c>
      <c r="X150" s="8">
        <f t="shared" si="43"/>
        <v>-31.24998683273463</v>
      </c>
      <c r="Y150" s="8">
        <f t="shared" si="37"/>
        <v>-9.139819123465195</v>
      </c>
      <c r="AA150" s="21">
        <f>Y150-riaa_curve!G134</f>
        <v>-0.2289117346777374</v>
      </c>
      <c r="AB150" s="21">
        <f>Y150-riaa_curve!H134</f>
        <v>-0.27907582062502456</v>
      </c>
    </row>
    <row r="151" spans="14:28" ht="12.75">
      <c r="N151" s="13">
        <v>5881.3355775848</v>
      </c>
      <c r="O151" s="10">
        <f t="shared" si="38"/>
        <v>36953.521287673386</v>
      </c>
      <c r="P151" s="9">
        <f t="shared" si="33"/>
        <v>-0.0923124069867041</v>
      </c>
      <c r="Q151" s="9">
        <f t="shared" si="34"/>
        <v>0.0020714819145482163</v>
      </c>
      <c r="R151" s="9">
        <f t="shared" si="35"/>
        <v>-1.1887669531817806</v>
      </c>
      <c r="S151" s="9">
        <f t="shared" si="36"/>
        <v>-3.3841104365839496</v>
      </c>
      <c r="T151" s="9">
        <f t="shared" si="39"/>
        <v>0.008525871521001196</v>
      </c>
      <c r="U151" s="10">
        <f t="shared" si="40"/>
        <v>12.865370315973504</v>
      </c>
      <c r="V151" s="8">
        <f t="shared" si="41"/>
        <v>-20.692612161576452</v>
      </c>
      <c r="W151" s="8">
        <f t="shared" si="42"/>
        <v>11.094222914300984</v>
      </c>
      <c r="X151" s="8">
        <f t="shared" si="43"/>
        <v>-31.786835075877434</v>
      </c>
      <c r="Y151" s="8">
        <f t="shared" si="37"/>
        <v>-9.676667366607997</v>
      </c>
      <c r="AA151" s="21">
        <f>Y151-riaa_curve!G135</f>
        <v>-0.23286497477728574</v>
      </c>
      <c r="AB151" s="21">
        <f>Y151-riaa_curve!H135</f>
        <v>-0.29069344628155847</v>
      </c>
    </row>
    <row r="152" spans="14:28" ht="12.75">
      <c r="N152" s="13">
        <v>6303.45939632595</v>
      </c>
      <c r="O152" s="10">
        <f t="shared" si="38"/>
        <v>39605.80346339832</v>
      </c>
      <c r="P152" s="9">
        <f t="shared" si="33"/>
        <v>-0.1060391100514438</v>
      </c>
      <c r="Q152" s="9">
        <f t="shared" si="34"/>
        <v>0.0013497240181161668</v>
      </c>
      <c r="R152" s="9">
        <f t="shared" si="35"/>
        <v>-1.3655346435947484</v>
      </c>
      <c r="S152" s="9">
        <f t="shared" si="36"/>
        <v>-4.167672726628962</v>
      </c>
      <c r="T152" s="9">
        <f t="shared" si="39"/>
        <v>0.011246114615427289</v>
      </c>
      <c r="U152" s="10">
        <f t="shared" si="40"/>
        <v>19.234180819144324</v>
      </c>
      <c r="V152" s="8">
        <f t="shared" si="41"/>
        <v>-19.489974946667402</v>
      </c>
      <c r="W152" s="8">
        <f t="shared" si="42"/>
        <v>12.840736945003233</v>
      </c>
      <c r="X152" s="8">
        <f t="shared" si="43"/>
        <v>-32.33071189167063</v>
      </c>
      <c r="Y152" s="8">
        <f t="shared" si="37"/>
        <v>-10.220544182401195</v>
      </c>
      <c r="AA152" s="21">
        <f>Y152-riaa_curve!G136</f>
        <v>-0.23592541571249726</v>
      </c>
      <c r="AB152" s="21">
        <f>Y152-riaa_curve!H136</f>
        <v>-0.3025412940917569</v>
      </c>
    </row>
    <row r="153" spans="14:28" ht="12.75">
      <c r="N153" s="13">
        <v>6755.8805031572</v>
      </c>
      <c r="O153" s="10">
        <f t="shared" si="38"/>
        <v>42448.44911449835</v>
      </c>
      <c r="P153" s="9">
        <f t="shared" si="33"/>
        <v>-0.12180695128144317</v>
      </c>
      <c r="Q153" s="9">
        <f t="shared" si="34"/>
        <v>0.0003749667955565713</v>
      </c>
      <c r="R153" s="9">
        <f t="shared" si="35"/>
        <v>-1.5685873987887513</v>
      </c>
      <c r="S153" s="9">
        <f t="shared" si="36"/>
        <v>-5.132447530974792</v>
      </c>
      <c r="T153" s="9">
        <f t="shared" si="39"/>
        <v>0.01483707398057764</v>
      </c>
      <c r="U153" s="10">
        <f t="shared" si="40"/>
        <v>28.8024840858481</v>
      </c>
      <c r="V153" s="8">
        <f t="shared" si="41"/>
        <v>-18.28651737829468</v>
      </c>
      <c r="W153" s="8">
        <f t="shared" si="42"/>
        <v>14.594299453374653</v>
      </c>
      <c r="X153" s="8">
        <f t="shared" si="43"/>
        <v>-32.880816831669335</v>
      </c>
      <c r="Y153" s="8">
        <f t="shared" si="37"/>
        <v>-10.770649122399899</v>
      </c>
      <c r="AA153" s="21">
        <f>Y153-riaa_curve!G137</f>
        <v>-0.23809219733252718</v>
      </c>
      <c r="AB153" s="21">
        <f>Y153-riaa_curve!H137</f>
        <v>-0.3147802615884778</v>
      </c>
    </row>
    <row r="154" spans="14:28" ht="12.75">
      <c r="N154" s="13">
        <v>7240.77343935023</v>
      </c>
      <c r="O154" s="10">
        <f t="shared" si="38"/>
        <v>45495.12128674156</v>
      </c>
      <c r="P154" s="9">
        <f t="shared" si="33"/>
        <v>-0.13991944456419786</v>
      </c>
      <c r="Q154" s="9">
        <f t="shared" si="34"/>
        <v>-0.0009174537829153368</v>
      </c>
      <c r="R154" s="9">
        <f t="shared" si="35"/>
        <v>-1.8018337646577183</v>
      </c>
      <c r="S154" s="9">
        <f t="shared" si="36"/>
        <v>-6.320328033804874</v>
      </c>
      <c r="T154" s="9">
        <f t="shared" si="39"/>
        <v>0.019578292688597423</v>
      </c>
      <c r="U154" s="10">
        <f t="shared" si="40"/>
        <v>43.1931513703604</v>
      </c>
      <c r="V154" s="8">
        <f t="shared" si="41"/>
        <v>-17.08225183230023</v>
      </c>
      <c r="W154" s="8">
        <f t="shared" si="42"/>
        <v>16.354148913091194</v>
      </c>
      <c r="X154" s="8">
        <f t="shared" si="43"/>
        <v>-33.436400745391424</v>
      </c>
      <c r="Y154" s="8">
        <f t="shared" si="37"/>
        <v>-11.326233036121987</v>
      </c>
      <c r="AA154" s="21">
        <f>Y154-riaa_curve!G138</f>
        <v>-0.2393594405899684</v>
      </c>
      <c r="AB154" s="21">
        <f>Y154-riaa_curve!H138</f>
        <v>-0.327588653469693</v>
      </c>
    </row>
    <row r="155" spans="14:28" ht="12.75">
      <c r="N155" s="13">
        <v>7760.46882053322</v>
      </c>
      <c r="O155" s="10">
        <f t="shared" si="38"/>
        <v>48760.463669999626</v>
      </c>
      <c r="P155" s="9">
        <f t="shared" si="33"/>
        <v>-0.16072523580299297</v>
      </c>
      <c r="Q155" s="9">
        <f t="shared" si="34"/>
        <v>-0.002607592369984624</v>
      </c>
      <c r="R155" s="9">
        <f t="shared" si="35"/>
        <v>-2.0697634814404364</v>
      </c>
      <c r="S155" s="9">
        <f t="shared" si="36"/>
        <v>-7.782891291734329</v>
      </c>
      <c r="T155" s="9">
        <f t="shared" si="39"/>
        <v>0.025839400961895697</v>
      </c>
      <c r="U155" s="10">
        <f t="shared" si="40"/>
        <v>64.85731772805849</v>
      </c>
      <c r="V155" s="8">
        <f t="shared" si="41"/>
        <v>-15.877175588642125</v>
      </c>
      <c r="W155" s="8">
        <f t="shared" si="42"/>
        <v>18.11958983806722</v>
      </c>
      <c r="X155" s="8">
        <f t="shared" si="43"/>
        <v>-33.996765426709345</v>
      </c>
      <c r="Y155" s="8">
        <f t="shared" si="37"/>
        <v>-11.886597717439908</v>
      </c>
      <c r="AA155" s="21">
        <f>Y155-riaa_curve!G139</f>
        <v>-0.23971403401737135</v>
      </c>
      <c r="AB155" s="21">
        <f>Y155-riaa_curve!H139</f>
        <v>-0.3411628055990512</v>
      </c>
    </row>
    <row r="156" spans="14:28" ht="12.75">
      <c r="N156" s="13">
        <v>8317.46453868783</v>
      </c>
      <c r="O156" s="10">
        <f t="shared" si="38"/>
        <v>52260.170982470605</v>
      </c>
      <c r="P156" s="9">
        <f t="shared" si="33"/>
        <v>-0.1846248139734084</v>
      </c>
      <c r="Q156" s="9">
        <f t="shared" si="34"/>
        <v>-0.004794483557523709</v>
      </c>
      <c r="R156" s="9">
        <f t="shared" si="35"/>
        <v>-2.3775339063635634</v>
      </c>
      <c r="S156" s="9">
        <f t="shared" si="36"/>
        <v>-9.583636642489939</v>
      </c>
      <c r="T156" s="9">
        <f t="shared" si="39"/>
        <v>0.03410930900729903</v>
      </c>
      <c r="U156" s="10">
        <f t="shared" si="40"/>
        <v>97.49875877118421</v>
      </c>
      <c r="V156" s="8">
        <f t="shared" si="41"/>
        <v>-14.6712707852156</v>
      </c>
      <c r="W156" s="8">
        <f t="shared" si="42"/>
        <v>19.88999086854878</v>
      </c>
      <c r="X156" s="8">
        <f t="shared" si="43"/>
        <v>-34.561261653764376</v>
      </c>
      <c r="Y156" s="8">
        <f t="shared" si="37"/>
        <v>-12.45109394449494</v>
      </c>
      <c r="AA156" s="21">
        <f>Y156-riaa_curve!G140</f>
        <v>-0.2391336015272465</v>
      </c>
      <c r="AB156" s="21">
        <f>Y156-riaa_curve!H140</f>
        <v>-0.3557181646302219</v>
      </c>
    </row>
    <row r="157" spans="14:28" ht="12.75">
      <c r="N157" s="13">
        <v>8914.43776815229</v>
      </c>
      <c r="O157" s="10">
        <f t="shared" si="38"/>
        <v>56011.06440662125</v>
      </c>
      <c r="P157" s="9">
        <f t="shared" si="33"/>
        <v>-0.21207822010288793</v>
      </c>
      <c r="Q157" s="9">
        <f t="shared" si="34"/>
        <v>-0.007600563129974166</v>
      </c>
      <c r="R157" s="9">
        <f t="shared" si="35"/>
        <v>-2.7310692871895013</v>
      </c>
      <c r="S157" s="9">
        <f t="shared" si="36"/>
        <v>-11.800741511811369</v>
      </c>
      <c r="T157" s="9">
        <f t="shared" si="39"/>
        <v>0.045034940001901703</v>
      </c>
      <c r="U157" s="10">
        <f t="shared" si="40"/>
        <v>146.71623968001785</v>
      </c>
      <c r="V157" s="8">
        <f t="shared" si="41"/>
        <v>-13.4645041151155</v>
      </c>
      <c r="W157" s="8">
        <f t="shared" si="42"/>
        <v>21.664781875520486</v>
      </c>
      <c r="X157" s="8">
        <f t="shared" si="43"/>
        <v>-35.129285990635985</v>
      </c>
      <c r="Y157" s="8">
        <f t="shared" si="37"/>
        <v>-13.019118281366548</v>
      </c>
      <c r="AA157" s="21">
        <f>Y157-riaa_curve!G141</f>
        <v>-0.2375846008789857</v>
      </c>
      <c r="AB157" s="21">
        <f>Y157-riaa_curve!H141</f>
        <v>-0.37149077167448397</v>
      </c>
    </row>
    <row r="158" spans="14:28" ht="12.75">
      <c r="N158" s="13">
        <v>9554.25783333688</v>
      </c>
      <c r="O158" s="10">
        <f t="shared" si="38"/>
        <v>60031.172439427755</v>
      </c>
      <c r="P158" s="9">
        <f t="shared" si="33"/>
        <v>-0.2436139025628863</v>
      </c>
      <c r="Q158" s="9">
        <f t="shared" si="34"/>
        <v>-0.011177113716558</v>
      </c>
      <c r="R158" s="9">
        <f t="shared" si="35"/>
        <v>-3.137174797577502</v>
      </c>
      <c r="S158" s="9">
        <f t="shared" si="36"/>
        <v>-14.53045421246536</v>
      </c>
      <c r="T158" s="9">
        <f t="shared" si="39"/>
        <v>0.05947266139295232</v>
      </c>
      <c r="U158" s="10">
        <f t="shared" si="40"/>
        <v>220.97596533110777</v>
      </c>
      <c r="V158" s="8">
        <f t="shared" si="41"/>
        <v>-12.25682626450926</v>
      </c>
      <c r="W158" s="8">
        <f t="shared" si="42"/>
        <v>23.4434503978597</v>
      </c>
      <c r="X158" s="8">
        <f t="shared" si="43"/>
        <v>-35.70027666236896</v>
      </c>
      <c r="Y158" s="8">
        <f t="shared" si="37"/>
        <v>-13.59010895309952</v>
      </c>
      <c r="AA158" s="21">
        <f>Y158-riaa_curve!G142</f>
        <v>-0.2350204964626137</v>
      </c>
      <c r="AB158" s="21">
        <f>Y158-riaa_curve!H142</f>
        <v>-0.38873908185762573</v>
      </c>
    </row>
    <row r="159" spans="14:28" ht="12.75">
      <c r="N159" s="13">
        <v>10240</v>
      </c>
      <c r="O159" s="10">
        <f t="shared" si="38"/>
        <v>64339.81754551896</v>
      </c>
      <c r="P159" s="9">
        <f t="shared" si="33"/>
        <v>-0.27983888912839705</v>
      </c>
      <c r="Q159" s="9">
        <f t="shared" si="34"/>
        <v>-0.015710971802289014</v>
      </c>
      <c r="R159" s="9">
        <f t="shared" si="35"/>
        <v>-3.603667529315454</v>
      </c>
      <c r="S159" s="9">
        <f t="shared" si="36"/>
        <v>-17.89127097273889</v>
      </c>
      <c r="T159" s="9">
        <f t="shared" si="39"/>
        <v>0.07855663850358763</v>
      </c>
      <c r="U159" s="10">
        <f t="shared" si="40"/>
        <v>333.08399668181175</v>
      </c>
      <c r="V159" s="8">
        <f t="shared" si="41"/>
        <v>-11.048171086042158</v>
      </c>
      <c r="W159" s="8">
        <f t="shared" si="42"/>
        <v>25.225537671260557</v>
      </c>
      <c r="X159" s="8">
        <f t="shared" si="43"/>
        <v>-36.273708757302714</v>
      </c>
      <c r="Y159" s="2">
        <f t="shared" si="37"/>
        <v>-14.163541048033277</v>
      </c>
      <c r="Z159" s="2"/>
      <c r="AA159" s="21">
        <f>Y159-riaa_curve!G143</f>
        <v>-0.23137994869312806</v>
      </c>
      <c r="AB159" s="21">
        <f>Y159-riaa_curve!H143</f>
        <v>-0.4077460354998159</v>
      </c>
    </row>
    <row r="160" spans="14:28" ht="12.75">
      <c r="N160" s="13">
        <v>10974.9602563716</v>
      </c>
      <c r="O160" s="10">
        <f t="shared" si="38"/>
        <v>68957.70902971394</v>
      </c>
      <c r="P160" s="9">
        <f t="shared" si="33"/>
        <v>-0.32145047160598483</v>
      </c>
      <c r="Q160" s="9">
        <f t="shared" si="34"/>
        <v>-0.021432787842349907</v>
      </c>
      <c r="R160" s="9">
        <f t="shared" si="35"/>
        <v>-4.139526962880859</v>
      </c>
      <c r="S160" s="9">
        <f t="shared" si="36"/>
        <v>-22.029078464883195</v>
      </c>
      <c r="T160" s="9">
        <f t="shared" si="39"/>
        <v>0.10378977009040524</v>
      </c>
      <c r="U160" s="10">
        <f t="shared" si="40"/>
        <v>502.4159814883982</v>
      </c>
      <c r="V160" s="8">
        <f t="shared" si="41"/>
        <v>-9.838454500735859</v>
      </c>
      <c r="W160" s="8">
        <f t="shared" si="42"/>
        <v>27.01063445541707</v>
      </c>
      <c r="X160" s="8">
        <f t="shared" si="43"/>
        <v>-36.849088956152926</v>
      </c>
      <c r="Y160" s="8">
        <f t="shared" si="37"/>
        <v>-14.73892124688349</v>
      </c>
      <c r="AA160" s="21">
        <f>Y160-riaa_curve!G144</f>
        <v>-0.22658496395643724</v>
      </c>
      <c r="AB160" s="21">
        <f>Y160-riaa_curve!H144</f>
        <v>-0.4288212788690906</v>
      </c>
    </row>
    <row r="161" spans="14:28" ht="12.75">
      <c r="N161" s="13">
        <v>11762.6711551696</v>
      </c>
      <c r="O161" s="10">
        <f t="shared" si="38"/>
        <v>73907.04257534677</v>
      </c>
      <c r="P161" s="9">
        <f t="shared" si="33"/>
        <v>-0.3692496279468164</v>
      </c>
      <c r="Q161" s="9">
        <f t="shared" si="34"/>
        <v>-0.0286271986730673</v>
      </c>
      <c r="R161" s="9">
        <f t="shared" si="35"/>
        <v>-4.755067812727122</v>
      </c>
      <c r="S161" s="9">
        <f t="shared" si="36"/>
        <v>-27.12348500365922</v>
      </c>
      <c r="T161" s="9">
        <f t="shared" si="39"/>
        <v>0.13716480424272962</v>
      </c>
      <c r="U161" s="10">
        <f t="shared" si="40"/>
        <v>758.2941086473601</v>
      </c>
      <c r="V161" s="8">
        <f t="shared" si="41"/>
        <v>-8.627573119825282</v>
      </c>
      <c r="W161" s="8">
        <f t="shared" si="42"/>
        <v>28.798376818709333</v>
      </c>
      <c r="X161" s="8">
        <f t="shared" si="43"/>
        <v>-37.425949938534615</v>
      </c>
      <c r="Y161" s="8">
        <f t="shared" si="37"/>
        <v>-15.315782229265178</v>
      </c>
      <c r="AA161" s="21">
        <f>Y161-riaa_curve!G145</f>
        <v>-0.22053895268323842</v>
      </c>
      <c r="AB161" s="21">
        <f>Y161-riaa_curve!H145</f>
        <v>-0.45230341119182427</v>
      </c>
    </row>
    <row r="162" spans="14:28" ht="12.75">
      <c r="N162" s="13">
        <v>12606.9187926519</v>
      </c>
      <c r="O162" s="10">
        <f t="shared" si="38"/>
        <v>79211.60692679664</v>
      </c>
      <c r="P162" s="9">
        <f t="shared" si="33"/>
        <v>-0.4241564402057752</v>
      </c>
      <c r="Q162" s="9">
        <f t="shared" si="34"/>
        <v>-0.03764535445271159</v>
      </c>
      <c r="R162" s="9">
        <f t="shared" si="35"/>
        <v>-5.462138574378994</v>
      </c>
      <c r="S162" s="9">
        <f t="shared" si="36"/>
        <v>-33.395615169672475</v>
      </c>
      <c r="T162" s="9">
        <f t="shared" si="39"/>
        <v>0.18132585847990562</v>
      </c>
      <c r="U162" s="10">
        <f t="shared" si="40"/>
        <v>1145.1020703665772</v>
      </c>
      <c r="V162" s="8">
        <f t="shared" si="41"/>
        <v>-7.415402577117792</v>
      </c>
      <c r="W162" s="8">
        <f t="shared" si="42"/>
        <v>30.58844199882251</v>
      </c>
      <c r="X162" s="8">
        <f t="shared" si="43"/>
        <v>-38.003844575940306</v>
      </c>
      <c r="Y162" s="8">
        <f t="shared" si="37"/>
        <v>-15.89367686667087</v>
      </c>
      <c r="AA162" s="21">
        <f>Y162-riaa_curve!G146</f>
        <v>-0.2131246480670903</v>
      </c>
      <c r="AB162" s="21">
        <f>Y162-riaa_curve!H146</f>
        <v>-0.47856210846486746</v>
      </c>
    </row>
    <row r="163" spans="14:28" ht="12.75">
      <c r="N163" s="13">
        <v>13511.7610063144</v>
      </c>
      <c r="O163" s="10">
        <f t="shared" si="38"/>
        <v>84896.8982289967</v>
      </c>
      <c r="P163" s="9">
        <f t="shared" si="33"/>
        <v>-0.4872278051257727</v>
      </c>
      <c r="Q163" s="9">
        <f t="shared" si="34"/>
        <v>-0.048920344600654316</v>
      </c>
      <c r="R163" s="9">
        <f t="shared" si="35"/>
        <v>-6.274349595155005</v>
      </c>
      <c r="S163" s="9">
        <f t="shared" si="36"/>
        <v>-41.11770612023019</v>
      </c>
      <c r="T163" s="9">
        <f t="shared" si="39"/>
        <v>0.23978413420352468</v>
      </c>
      <c r="U163" s="10">
        <f t="shared" si="40"/>
        <v>1730.0332194318369</v>
      </c>
      <c r="V163" s="8">
        <f t="shared" si="41"/>
        <v>-6.201795562489077</v>
      </c>
      <c r="W163" s="8">
        <f t="shared" si="42"/>
        <v>32.38054442364302</v>
      </c>
      <c r="X163" s="8">
        <f t="shared" si="43"/>
        <v>-38.5823399861321</v>
      </c>
      <c r="Y163" s="8">
        <f t="shared" si="37"/>
        <v>-16.47217227686266</v>
      </c>
      <c r="AA163" s="21">
        <f>Y163-riaa_curve!G147</f>
        <v>-0.20420184383567275</v>
      </c>
      <c r="AB163" s="21">
        <f>Y163-riaa_curve!H147</f>
        <v>-0.507999942787432</v>
      </c>
    </row>
    <row r="164" spans="14:28" ht="12.75">
      <c r="N164" s="13">
        <v>14481.5468787005</v>
      </c>
      <c r="O164" s="10">
        <f t="shared" si="38"/>
        <v>90990.24257348338</v>
      </c>
      <c r="P164" s="9">
        <f t="shared" si="33"/>
        <v>-0.5596777782567947</v>
      </c>
      <c r="Q164" s="9">
        <f t="shared" si="34"/>
        <v>-0.06298619307091373</v>
      </c>
      <c r="R164" s="9">
        <f t="shared" si="35"/>
        <v>-7.207335058630915</v>
      </c>
      <c r="S164" s="9">
        <f t="shared" si="36"/>
        <v>-50.62492203799865</v>
      </c>
      <c r="T164" s="9">
        <f t="shared" si="39"/>
        <v>0.3172064759920282</v>
      </c>
      <c r="U164" s="10">
        <f t="shared" si="40"/>
        <v>2614.828410000812</v>
      </c>
      <c r="V164" s="8">
        <f t="shared" si="41"/>
        <v>-4.986579548383775</v>
      </c>
      <c r="W164" s="8">
        <f t="shared" si="42"/>
        <v>34.17443194910813</v>
      </c>
      <c r="X164" s="8">
        <f t="shared" si="43"/>
        <v>-39.161011497491906</v>
      </c>
      <c r="Y164" s="8">
        <f t="shared" si="37"/>
        <v>-17.05084378822247</v>
      </c>
      <c r="AA164" s="21">
        <f>Y164-riaa_curve!G148</f>
        <v>-0.19360491625127096</v>
      </c>
      <c r="AB164" s="21">
        <f>Y164-riaa_curve!H148</f>
        <v>-0.5410536783218056</v>
      </c>
    </row>
    <row r="165" spans="14:28" ht="12.75">
      <c r="N165" s="13">
        <v>15520.9376410664</v>
      </c>
      <c r="O165" s="10">
        <f t="shared" si="38"/>
        <v>97520.92733999899</v>
      </c>
      <c r="P165" s="9">
        <f t="shared" si="33"/>
        <v>-0.6429009432119684</v>
      </c>
      <c r="Q165" s="9">
        <f t="shared" si="34"/>
        <v>-0.08050124825841068</v>
      </c>
      <c r="R165" s="9">
        <f t="shared" si="35"/>
        <v>-8.279053925761701</v>
      </c>
      <c r="S165" s="9">
        <f t="shared" si="36"/>
        <v>-62.329899427919344</v>
      </c>
      <c r="T165" s="9">
        <f t="shared" si="39"/>
        <v>0.41980207375400097</v>
      </c>
      <c r="U165" s="10">
        <f t="shared" si="40"/>
        <v>3953.55909660021</v>
      </c>
      <c r="V165" s="8">
        <f t="shared" si="41"/>
        <v>-3.769554204041782</v>
      </c>
      <c r="W165" s="8">
        <f t="shared" si="42"/>
        <v>35.96988234884007</v>
      </c>
      <c r="X165" s="8">
        <f t="shared" si="43"/>
        <v>-39.739436552881855</v>
      </c>
      <c r="Y165" s="8">
        <f t="shared" si="37"/>
        <v>-17.62926884361242</v>
      </c>
      <c r="AA165" s="21">
        <f>Y165-riaa_curve!G149</f>
        <v>-0.1811401033395832</v>
      </c>
      <c r="AB165" s="21">
        <f>Y165-riaa_curve!H149</f>
        <v>-0.5781947824892661</v>
      </c>
    </row>
    <row r="166" spans="14:28" ht="12.75">
      <c r="N166" s="13">
        <v>16634.9290773757</v>
      </c>
      <c r="O166" s="10">
        <f t="shared" si="38"/>
        <v>104520.34196494146</v>
      </c>
      <c r="P166" s="9">
        <f t="shared" si="33"/>
        <v>-0.7384992558936371</v>
      </c>
      <c r="Q166" s="9">
        <f t="shared" si="34"/>
        <v>-0.10227698361850875</v>
      </c>
      <c r="R166" s="9">
        <f t="shared" si="35"/>
        <v>-9.510135625454298</v>
      </c>
      <c r="S166" s="9">
        <f t="shared" si="36"/>
        <v>-76.74065448303534</v>
      </c>
      <c r="T166" s="9">
        <f t="shared" si="39"/>
        <v>0.5558417323335564</v>
      </c>
      <c r="U166" s="10">
        <f t="shared" si="40"/>
        <v>5979.570730099148</v>
      </c>
      <c r="V166" s="8">
        <f t="shared" si="41"/>
        <v>-2.5504884971088115</v>
      </c>
      <c r="W166" s="8">
        <f t="shared" si="42"/>
        <v>37.76670007359505</v>
      </c>
      <c r="X166" s="8">
        <f t="shared" si="43"/>
        <v>-40.317188570703856</v>
      </c>
      <c r="Y166" s="8">
        <f t="shared" si="37"/>
        <v>-18.20702086143442</v>
      </c>
      <c r="AA166" s="21">
        <f>Y166-riaa_curve!G150</f>
        <v>-0.1665825236064329</v>
      </c>
      <c r="AB166" s="21">
        <f>Y166-riaa_curve!H150</f>
        <v>-0.6199288457714083</v>
      </c>
    </row>
    <row r="167" spans="14:28" ht="12.75">
      <c r="N167" s="13">
        <v>17828.8755363046</v>
      </c>
      <c r="O167" s="10">
        <f t="shared" si="38"/>
        <v>112022.12881324263</v>
      </c>
      <c r="P167" s="9">
        <f t="shared" si="33"/>
        <v>-0.8483128804115537</v>
      </c>
      <c r="Q167" s="9">
        <f t="shared" si="34"/>
        <v>-0.12931345996220572</v>
      </c>
      <c r="R167" s="9">
        <f t="shared" si="35"/>
        <v>-10.92427714875803</v>
      </c>
      <c r="S167" s="9">
        <f t="shared" si="36"/>
        <v>-94.48262964298566</v>
      </c>
      <c r="T167" s="9">
        <f t="shared" si="39"/>
        <v>0.736356713999544</v>
      </c>
      <c r="U167" s="10">
        <f t="shared" si="40"/>
        <v>9046.307135476469</v>
      </c>
      <c r="V167" s="8">
        <f t="shared" si="41"/>
        <v>-1.32911748988864</v>
      </c>
      <c r="W167" s="8">
        <f t="shared" si="42"/>
        <v>39.56471328598741</v>
      </c>
      <c r="X167" s="8">
        <f t="shared" si="43"/>
        <v>-40.89383077587605</v>
      </c>
      <c r="Y167" s="8">
        <f t="shared" si="37"/>
        <v>-18.78366306660661</v>
      </c>
      <c r="AA167" s="21">
        <f>Y167-riaa_curve!G151</f>
        <v>-0.1496729277540858</v>
      </c>
      <c r="AB167" s="21">
        <f>Y167-riaa_curve!H151</f>
        <v>-0.6667935593178562</v>
      </c>
    </row>
    <row r="168" spans="14:28" ht="12.75">
      <c r="N168" s="13">
        <v>19108.5156666738</v>
      </c>
      <c r="O168" s="10">
        <f t="shared" si="38"/>
        <v>120062.34487885576</v>
      </c>
      <c r="P168" s="9">
        <f t="shared" si="33"/>
        <v>-0.9744556102515491</v>
      </c>
      <c r="Q168" s="9">
        <f t="shared" si="34"/>
        <v>-0.16284298956440132</v>
      </c>
      <c r="R168" s="9">
        <f t="shared" si="35"/>
        <v>-12.54869919031006</v>
      </c>
      <c r="S168" s="9">
        <f t="shared" si="36"/>
        <v>-116.3258360968415</v>
      </c>
      <c r="T168" s="9">
        <f t="shared" si="39"/>
        <v>0.9760815756009907</v>
      </c>
      <c r="U168" s="10">
        <f t="shared" si="40"/>
        <v>13689.169994998121</v>
      </c>
      <c r="V168" s="8">
        <f t="shared" si="41"/>
        <v>-0.10513884840588975</v>
      </c>
      <c r="W168" s="8">
        <f t="shared" si="42"/>
        <v>41.363771166862186</v>
      </c>
      <c r="X168" s="8">
        <f t="shared" si="43"/>
        <v>-41.46891001526808</v>
      </c>
      <c r="Y168" s="8">
        <f t="shared" si="37"/>
        <v>-19.358742305998643</v>
      </c>
      <c r="AA168" s="21">
        <f>Y168-riaa_curve!G152</f>
        <v>-0.13011419086735643</v>
      </c>
      <c r="AB168" s="21">
        <f>Y168-riaa_curve!H152</f>
        <v>-0.7193548622740273</v>
      </c>
    </row>
    <row r="169" spans="14:28" ht="12.75">
      <c r="N169" s="14">
        <v>20480</v>
      </c>
      <c r="O169" s="10">
        <f t="shared" si="38"/>
        <v>128679.63509103793</v>
      </c>
      <c r="P169" s="9">
        <f t="shared" si="33"/>
        <v>-1.1193555565135882</v>
      </c>
      <c r="Q169" s="9">
        <f t="shared" si="34"/>
        <v>-0.20438389824025288</v>
      </c>
      <c r="R169" s="9">
        <f t="shared" si="35"/>
        <v>-14.414670117261815</v>
      </c>
      <c r="S169" s="9">
        <f t="shared" si="36"/>
        <v>-143.21827012969896</v>
      </c>
      <c r="T169" s="9">
        <f t="shared" si="39"/>
        <v>1.2947296397577268</v>
      </c>
      <c r="U169" s="10">
        <f t="shared" si="40"/>
        <v>20719.255613532903</v>
      </c>
      <c r="V169" s="8">
        <f t="shared" si="41"/>
        <v>1.1217909025537354</v>
      </c>
      <c r="W169" s="8">
        <f t="shared" si="42"/>
        <v>43.16374148334666</v>
      </c>
      <c r="X169" s="8">
        <f t="shared" si="43"/>
        <v>-42.04195058079293</v>
      </c>
      <c r="Y169" s="3">
        <f t="shared" si="37"/>
        <v>-19.93178287152349</v>
      </c>
      <c r="Z169" s="3"/>
      <c r="AA169" s="21">
        <f>Y169-riaa_curve!G153</f>
        <v>-0.10756756999787953</v>
      </c>
      <c r="AB169" s="21">
        <f>Y169-riaa_curve!H153</f>
        <v>-0.778200848398594</v>
      </c>
    </row>
    <row r="170" spans="14:28" ht="12.75">
      <c r="N170" s="13">
        <v>21949.9205127432</v>
      </c>
      <c r="O170" s="10">
        <f t="shared" si="38"/>
        <v>137915.41805942787</v>
      </c>
      <c r="P170" s="9">
        <f t="shared" si="33"/>
        <v>-1.2858018864239393</v>
      </c>
      <c r="Q170" s="9">
        <f t="shared" si="34"/>
        <v>-0.25580671985562525</v>
      </c>
      <c r="R170" s="9">
        <f t="shared" si="35"/>
        <v>-16.558107851523435</v>
      </c>
      <c r="S170" s="9">
        <f t="shared" si="36"/>
        <v>-176.32705347741174</v>
      </c>
      <c r="T170" s="9">
        <f t="shared" si="39"/>
        <v>1.7187235690546552</v>
      </c>
      <c r="U170" s="10">
        <f t="shared" si="40"/>
        <v>31365.4007236487</v>
      </c>
      <c r="V170" s="8">
        <f t="shared" si="41"/>
        <v>2.3520603254046075</v>
      </c>
      <c r="W170" s="8">
        <f t="shared" si="42"/>
        <v>44.964508404452545</v>
      </c>
      <c r="X170" s="8">
        <f t="shared" si="43"/>
        <v>-42.61244807904794</v>
      </c>
      <c r="Y170" s="8">
        <f t="shared" si="37"/>
        <v>-20.5022803697785</v>
      </c>
      <c r="AA170" s="21">
        <f>Y170-riaa_curve!G154</f>
        <v>-0.08164877392291103</v>
      </c>
      <c r="AB170" s="21">
        <f>Y170-riaa_curve!H154</f>
        <v>-0.8439330245297789</v>
      </c>
    </row>
    <row r="171" spans="14:28" ht="12.75">
      <c r="N171" s="13">
        <v>23525.3423103392</v>
      </c>
      <c r="O171" s="10">
        <f t="shared" si="38"/>
        <v>147814.08515069354</v>
      </c>
      <c r="P171" s="9">
        <f t="shared" si="33"/>
        <v>-1.4769985117872657</v>
      </c>
      <c r="Q171" s="9">
        <f t="shared" si="34"/>
        <v>-0.31941569736344444</v>
      </c>
      <c r="R171" s="9">
        <f t="shared" si="35"/>
        <v>-19.02027125090849</v>
      </c>
      <c r="S171" s="9">
        <f t="shared" si="36"/>
        <v>-217.08908305124905</v>
      </c>
      <c r="T171" s="9">
        <f t="shared" si="39"/>
        <v>2.283550991543973</v>
      </c>
      <c r="U171" s="10">
        <f t="shared" si="40"/>
        <v>47489.440698490245</v>
      </c>
      <c r="V171" s="8">
        <f t="shared" si="41"/>
        <v>3.586107138186127</v>
      </c>
      <c r="W171" s="8">
        <f t="shared" si="42"/>
        <v>46.76597054758061</v>
      </c>
      <c r="X171" s="8">
        <f t="shared" si="43"/>
        <v>-43.17986340939448</v>
      </c>
      <c r="Y171" s="8">
        <f t="shared" si="37"/>
        <v>-21.069695700125042</v>
      </c>
      <c r="AA171" s="21">
        <f>Y171-riaa_curve!G155</f>
        <v>-0.05192391893737991</v>
      </c>
      <c r="AB171" s="21">
        <f>Y171-riaa_curve!H155</f>
        <v>-0.9171545540353669</v>
      </c>
    </row>
    <row r="172" spans="14:28" ht="12.75">
      <c r="N172" s="13">
        <v>25213.8375853038</v>
      </c>
      <c r="O172" s="10">
        <f t="shared" si="38"/>
        <v>158423.21385359328</v>
      </c>
      <c r="P172" s="9">
        <f t="shared" si="33"/>
        <v>-1.6966257608231008</v>
      </c>
      <c r="Q172" s="9">
        <f t="shared" si="34"/>
        <v>-0.3980491288169746</v>
      </c>
      <c r="R172" s="9">
        <f t="shared" si="35"/>
        <v>-21.848554297515975</v>
      </c>
      <c r="S172" s="9">
        <f t="shared" si="36"/>
        <v>-267.2733880706613</v>
      </c>
      <c r="T172" s="9">
        <f t="shared" si="39"/>
        <v>3.036982081240518</v>
      </c>
      <c r="U172" s="10">
        <f t="shared" si="40"/>
        <v>71912.42329566182</v>
      </c>
      <c r="V172" s="8">
        <f t="shared" si="41"/>
        <v>4.824422295075562</v>
      </c>
      <c r="W172" s="8">
        <f t="shared" si="42"/>
        <v>48.56803923799924</v>
      </c>
      <c r="X172" s="8">
        <f t="shared" si="43"/>
        <v>-43.74361694292367</v>
      </c>
      <c r="Y172" s="8">
        <f t="shared" si="37"/>
        <v>-21.633449233654236</v>
      </c>
      <c r="AA172" s="21">
        <f>Y172-riaa_curve!G156</f>
        <v>-0.01790547760422001</v>
      </c>
      <c r="AB172" s="21">
        <f>Y172-riaa_curve!H156</f>
        <v>-0.9984552096546615</v>
      </c>
    </row>
    <row r="173" spans="14:28" ht="12.75">
      <c r="N173" s="13">
        <v>27023.5220126288</v>
      </c>
      <c r="O173" s="10">
        <f t="shared" si="38"/>
        <v>169793.7964579934</v>
      </c>
      <c r="P173" s="9">
        <f t="shared" si="33"/>
        <v>-1.9489112205030907</v>
      </c>
      <c r="Q173" s="9">
        <f t="shared" si="34"/>
        <v>-0.4952029147354483</v>
      </c>
      <c r="R173" s="9">
        <f t="shared" si="35"/>
        <v>-25.09739838062002</v>
      </c>
      <c r="S173" s="9">
        <f t="shared" si="36"/>
        <v>-329.05790070670525</v>
      </c>
      <c r="T173" s="9">
        <f t="shared" si="39"/>
        <v>4.043480872165331</v>
      </c>
      <c r="U173" s="10">
        <f t="shared" si="40"/>
        <v>108908.98142297944</v>
      </c>
      <c r="V173" s="8">
        <f t="shared" si="41"/>
        <v>6.067553930055082</v>
      </c>
      <c r="W173" s="8">
        <f t="shared" si="42"/>
        <v>50.37063696299393</v>
      </c>
      <c r="X173" s="8">
        <f t="shared" si="43"/>
        <v>-44.303083032938844</v>
      </c>
      <c r="Y173" s="8">
        <f t="shared" si="37"/>
        <v>-22.192915323669407</v>
      </c>
      <c r="AA173" s="21">
        <f>Y173-riaa_curve!G157</f>
        <v>0.0209516331006121</v>
      </c>
      <c r="AB173" s="21">
        <f>Y173-riaa_curve!H157</f>
        <v>-1.0883929141542659</v>
      </c>
    </row>
    <row r="174" spans="14:28" ht="12.75">
      <c r="N174" s="13">
        <v>28963.0937574009</v>
      </c>
      <c r="O174" s="10">
        <f t="shared" si="38"/>
        <v>181980.48514696612</v>
      </c>
      <c r="P174" s="9">
        <f t="shared" si="33"/>
        <v>-2.238711113027163</v>
      </c>
      <c r="Q174" s="9">
        <f t="shared" si="34"/>
        <v>-0.6151826701824843</v>
      </c>
      <c r="R174" s="9">
        <f t="shared" si="35"/>
        <v>-28.829340234523457</v>
      </c>
      <c r="S174" s="9">
        <f t="shared" si="36"/>
        <v>-405.1239718391034</v>
      </c>
      <c r="T174" s="9">
        <f t="shared" si="39"/>
        <v>5.390277165284171</v>
      </c>
      <c r="U174" s="10">
        <f t="shared" si="40"/>
        <v>164956.56341704854</v>
      </c>
      <c r="V174" s="8">
        <f t="shared" si="41"/>
        <v>7.316110969601563</v>
      </c>
      <c r="W174" s="8">
        <f t="shared" si="42"/>
        <v>52.1736960026389</v>
      </c>
      <c r="X174" s="8">
        <f t="shared" si="43"/>
        <v>-44.85758503303734</v>
      </c>
      <c r="Y174" s="8">
        <f t="shared" si="37"/>
        <v>-22.747417323767902</v>
      </c>
      <c r="AA174" s="21">
        <f>Y174-riaa_curve!G158</f>
        <v>0.06525363189277655</v>
      </c>
      <c r="AB174" s="21">
        <f>Y174-riaa_curve!H158</f>
        <v>-1.1874719721507425</v>
      </c>
    </row>
    <row r="175" spans="14:28" ht="12.75">
      <c r="N175" s="13">
        <v>31041.8752821329</v>
      </c>
      <c r="O175" s="10">
        <f t="shared" si="38"/>
        <v>195041.85467999862</v>
      </c>
      <c r="P175" s="9">
        <f t="shared" si="33"/>
        <v>-2.5716037728478907</v>
      </c>
      <c r="Q175" s="9">
        <f t="shared" si="34"/>
        <v>-0.763291004664362</v>
      </c>
      <c r="R175" s="9">
        <f t="shared" si="35"/>
        <v>-33.116215703047025</v>
      </c>
      <c r="S175" s="9">
        <f t="shared" si="36"/>
        <v>-498.7727336114502</v>
      </c>
      <c r="T175" s="9">
        <f t="shared" si="39"/>
        <v>7.195759122327037</v>
      </c>
      <c r="U175" s="10">
        <f t="shared" si="40"/>
        <v>249870.9235367294</v>
      </c>
      <c r="V175" s="8">
        <f t="shared" si="41"/>
        <v>8.57076616931004</v>
      </c>
      <c r="W175" s="8">
        <f t="shared" si="42"/>
        <v>53.97715721983821</v>
      </c>
      <c r="X175" s="8">
        <f t="shared" si="43"/>
        <v>-45.40639105052817</v>
      </c>
      <c r="Y175" s="8">
        <f t="shared" si="37"/>
        <v>-23.296223341258735</v>
      </c>
      <c r="AA175" s="21">
        <f>Y175-riaa_curve!G159</f>
        <v>0.11567087766770001</v>
      </c>
      <c r="AB175" s="21">
        <f>Y175-riaa_curve!H159</f>
        <v>-1.2961183930696443</v>
      </c>
    </row>
    <row r="176" spans="14:28" ht="12.75">
      <c r="N176" s="13">
        <v>33269.8581547513</v>
      </c>
      <c r="O176" s="10">
        <f t="shared" si="38"/>
        <v>209040.68392988233</v>
      </c>
      <c r="P176" s="9">
        <f t="shared" si="33"/>
        <v>-2.9539970235745314</v>
      </c>
      <c r="Q176" s="9">
        <f t="shared" si="34"/>
        <v>-0.9460580992646985</v>
      </c>
      <c r="R176" s="9">
        <f t="shared" si="35"/>
        <v>-38.04054250181698</v>
      </c>
      <c r="S176" s="9">
        <f t="shared" si="36"/>
        <v>-614.0683585505079</v>
      </c>
      <c r="T176" s="9">
        <f t="shared" si="39"/>
        <v>9.621124342471525</v>
      </c>
      <c r="U176" s="10">
        <f t="shared" si="40"/>
        <v>378527.03184674773</v>
      </c>
      <c r="V176" s="8">
        <f t="shared" si="41"/>
        <v>9.832258274638491</v>
      </c>
      <c r="W176" s="8">
        <f t="shared" si="42"/>
        <v>55.78096899325339</v>
      </c>
      <c r="X176" s="8">
        <f t="shared" si="43"/>
        <v>-45.9487107186149</v>
      </c>
      <c r="Y176" s="8">
        <f t="shared" si="37"/>
        <v>-23.83854300934546</v>
      </c>
      <c r="AA176" s="21">
        <f>Y176-riaa_curve!G160</f>
        <v>0.17293999937437476</v>
      </c>
      <c r="AB176" s="21">
        <f>Y176-riaa_curve!H160</f>
        <v>-1.414653063070471</v>
      </c>
    </row>
    <row r="177" spans="14:28" ht="12.75">
      <c r="N177" s="13">
        <v>35657.7510726091</v>
      </c>
      <c r="O177" s="10">
        <f t="shared" si="38"/>
        <v>224044.2576264846</v>
      </c>
      <c r="P177" s="9">
        <f aca="true" t="shared" si="44" ref="P177:P191">-O177*O177*$F$4*($F$6*$F$12+$F$5*$F$10)</f>
        <v>-3.3932515216461963</v>
      </c>
      <c r="Q177" s="9">
        <f aca="true" t="shared" si="45" ref="Q177:Q191">O177*$F$4*(1-O177*O177*$F$5*$F$6*$F$10*$F$12)</f>
        <v>-1.1715255895424592</v>
      </c>
      <c r="R177" s="9">
        <f aca="true" t="shared" si="46" ref="R177:R191">-O177*O177*(($F$5*$F$6*($F$10+$F$11+$F$12))+$F$4*($F$5*$F$10+$F$6*$F$11+$F$6*$F$12+$F$5*$F$9+$F$6*$F$9))</f>
        <v>-43.69710859503187</v>
      </c>
      <c r="S177" s="9">
        <f aca="true" t="shared" si="47" ref="S177:S191">O177*($F$4-$F$4*O177*O177*$F$5*$F$6*($F$10*$F$12+$F$10*$F$11+$F$9*$F$10+$F$9*$F$11+$F$9*$F$12)+$F$5+$F$6)</f>
        <v>-756.0144322408674</v>
      </c>
      <c r="T177" s="9">
        <f t="shared" si="39"/>
        <v>12.886628096107033</v>
      </c>
      <c r="U177" s="10">
        <f t="shared" si="40"/>
        <v>573467.2590560472</v>
      </c>
      <c r="V177" s="8">
        <f t="shared" si="41"/>
        <v>11.101392951017171</v>
      </c>
      <c r="W177" s="8">
        <f t="shared" si="42"/>
        <v>57.58508627787083</v>
      </c>
      <c r="X177" s="8">
        <f t="shared" si="43"/>
        <v>-46.483693326853654</v>
      </c>
      <c r="Y177" s="8">
        <f>X177-$X$45</f>
        <v>-24.373525617584217</v>
      </c>
      <c r="AA177" s="21">
        <f>Y177-riaa_curve!G161</f>
        <v>0.23786479702765106</v>
      </c>
      <c r="AB177" s="21">
        <f>Y177-riaa_curve!H161</f>
        <v>-1.5432639181215926</v>
      </c>
    </row>
    <row r="178" spans="14:28" ht="12.75">
      <c r="N178" s="13">
        <v>38217.0313333475</v>
      </c>
      <c r="O178" s="10">
        <f aca="true" t="shared" si="48" ref="O178:O191">(2*PI()*N178)</f>
        <v>240124.68975771088</v>
      </c>
      <c r="P178" s="9">
        <f t="shared" si="44"/>
        <v>-3.897822441006176</v>
      </c>
      <c r="Q178" s="9">
        <f t="shared" si="45"/>
        <v>-1.4495960761790712</v>
      </c>
      <c r="R178" s="9">
        <f t="shared" si="46"/>
        <v>-50.19479676123998</v>
      </c>
      <c r="S178" s="9">
        <f t="shared" si="47"/>
        <v>-930.7710935689602</v>
      </c>
      <c r="T178" s="9">
        <f aca="true" t="shared" si="49" ref="T178:T191">P178*P178+Q178*Q178</f>
        <v>17.294348565685105</v>
      </c>
      <c r="U178" s="10">
        <f aca="true" t="shared" si="50" ref="U178:U191">R178*R178+S178*S178</f>
        <v>868854.3462454602</v>
      </c>
      <c r="V178" s="8">
        <f aca="true" t="shared" si="51" ref="V178:V191">10*LOG10(T178)</f>
        <v>12.379042078851274</v>
      </c>
      <c r="W178" s="8">
        <f aca="true" t="shared" si="52" ref="W178:W191">10*LOG10(U178)</f>
        <v>59.38946977917362</v>
      </c>
      <c r="X178" s="8">
        <f aca="true" t="shared" si="53" ref="X178:X191">V178-W178</f>
        <v>-47.01042770032235</v>
      </c>
      <c r="Y178" s="8">
        <f>X178-$X$45</f>
        <v>-24.900259991052916</v>
      </c>
      <c r="AA178" s="21">
        <f>Y178-riaa_curve!G162</f>
        <v>0.3113155096795488</v>
      </c>
      <c r="AB178" s="21">
        <f>Y178-riaa_curve!H162</f>
        <v>-1.6819786609945275</v>
      </c>
    </row>
    <row r="179" spans="14:28" ht="12.75">
      <c r="N179" s="13">
        <v>40959.9999999999</v>
      </c>
      <c r="O179" s="10">
        <f t="shared" si="48"/>
        <v>257359.2701820752</v>
      </c>
      <c r="P179" s="9">
        <f t="shared" si="44"/>
        <v>-4.4774222260543315</v>
      </c>
      <c r="Q179" s="9">
        <f t="shared" si="45"/>
        <v>-1.792463433565891</v>
      </c>
      <c r="R179" s="9">
        <f t="shared" si="46"/>
        <v>-57.65868046904698</v>
      </c>
      <c r="S179" s="9">
        <f t="shared" si="47"/>
        <v>-1145.922365733159</v>
      </c>
      <c r="T179" s="9">
        <f t="shared" si="49"/>
        <v>23.26023495103615</v>
      </c>
      <c r="U179" s="10">
        <f t="shared" si="50"/>
        <v>1316462.5917209117</v>
      </c>
      <c r="V179" s="8">
        <f t="shared" si="51"/>
        <v>13.666140972119987</v>
      </c>
      <c r="W179" s="8">
        <f t="shared" si="52"/>
        <v>61.194085228116215</v>
      </c>
      <c r="X179" s="8">
        <f t="shared" si="53"/>
        <v>-47.52794425599623</v>
      </c>
      <c r="Y179" s="8">
        <f>X179-$X$45</f>
        <v>-25.417776546726795</v>
      </c>
      <c r="AA179" s="21">
        <f>Y179-riaa_curve!G163</f>
        <v>0.39422600918419803</v>
      </c>
      <c r="AB179" s="21">
        <f>Y179-riaa_curve!H163</f>
        <v>-1.830639897947048</v>
      </c>
    </row>
    <row r="180" spans="14:28" ht="12.75">
      <c r="N180" s="13">
        <v>43899.8410254865</v>
      </c>
      <c r="O180" s="10">
        <f t="shared" si="48"/>
        <v>275830.8361188564</v>
      </c>
      <c r="P180" s="9">
        <f t="shared" si="44"/>
        <v>-5.143207545695781</v>
      </c>
      <c r="Q180" s="9">
        <f t="shared" si="45"/>
        <v>-2.2151425930786695</v>
      </c>
      <c r="R180" s="9">
        <f t="shared" si="46"/>
        <v>-66.23243140609405</v>
      </c>
      <c r="S180" s="9">
        <f t="shared" si="47"/>
        <v>-1410.8052793359961</v>
      </c>
      <c r="T180" s="9">
        <f t="shared" si="49"/>
        <v>31.359440565773316</v>
      </c>
      <c r="U180" s="10">
        <f t="shared" si="50"/>
        <v>1994758.271172281</v>
      </c>
      <c r="V180" s="8">
        <f t="shared" si="51"/>
        <v>14.963683065199024</v>
      </c>
      <c r="W180" s="8">
        <f t="shared" si="52"/>
        <v>62.998902745307</v>
      </c>
      <c r="X180" s="8">
        <f t="shared" si="53"/>
        <v>-48.03521968010797</v>
      </c>
      <c r="Y180" s="8">
        <f>X180-$X$45</f>
        <v>-25.925051970838535</v>
      </c>
      <c r="AA180" s="21">
        <f>Y180-riaa_curve!G164</f>
        <v>0.48758846440687265</v>
      </c>
      <c r="AB180" s="21">
        <f>Y180-riaa_curve!H164</f>
        <v>-1.9888847848668512</v>
      </c>
    </row>
    <row r="181" spans="14:28" ht="12.75">
      <c r="N181" s="13">
        <v>47050.6846206784</v>
      </c>
      <c r="O181" s="10">
        <f t="shared" si="48"/>
        <v>295628.1703013871</v>
      </c>
      <c r="P181" s="9">
        <f t="shared" si="44"/>
        <v>-5.907994047149063</v>
      </c>
      <c r="Q181" s="9">
        <f t="shared" si="45"/>
        <v>-2.736121794865368</v>
      </c>
      <c r="R181" s="9">
        <f t="shared" si="46"/>
        <v>-76.08108500363396</v>
      </c>
      <c r="S181" s="9">
        <f t="shared" si="47"/>
        <v>-1736.915070453943</v>
      </c>
      <c r="T181" s="9">
        <f t="shared" si="49"/>
        <v>42.39075613748604</v>
      </c>
      <c r="U181" s="10">
        <f t="shared" si="50"/>
        <v>3022662.293465356</v>
      </c>
      <c r="V181" s="8">
        <f t="shared" si="51"/>
        <v>16.27271163286998</v>
      </c>
      <c r="W181" s="8">
        <f t="shared" si="52"/>
        <v>64.80389628396075</v>
      </c>
      <c r="X181" s="8">
        <f t="shared" si="53"/>
        <v>-48.53118465109077</v>
      </c>
      <c r="Y181" s="8">
        <f>X181-$X$45</f>
        <v>-26.421016941821332</v>
      </c>
      <c r="AA181" s="21">
        <f>Y181-riaa_curve!G165</f>
        <v>0.5924450407882098</v>
      </c>
      <c r="AB181" s="21">
        <f>Y181-riaa_curve!H165</f>
        <v>-2.156131308463312</v>
      </c>
    </row>
    <row r="182" spans="14:28" ht="12.75">
      <c r="N182">
        <v>50427.6751706076</v>
      </c>
      <c r="O182" s="10">
        <f t="shared" si="48"/>
        <v>316846.42770718655</v>
      </c>
      <c r="P182" s="9">
        <f t="shared" si="44"/>
        <v>-6.786503043292403</v>
      </c>
      <c r="Q182" s="9">
        <f t="shared" si="45"/>
        <v>-3.3781656169263603</v>
      </c>
      <c r="R182" s="9">
        <f t="shared" si="46"/>
        <v>-87.3942171900639</v>
      </c>
      <c r="S182" s="9">
        <f t="shared" si="47"/>
        <v>-2138.404037991854</v>
      </c>
      <c r="T182" s="9">
        <f t="shared" si="49"/>
        <v>57.4686264920005</v>
      </c>
      <c r="U182" s="10">
        <f t="shared" si="50"/>
        <v>4580409.57889813</v>
      </c>
      <c r="V182" s="8">
        <f t="shared" si="51"/>
        <v>17.59430817560472</v>
      </c>
      <c r="W182" s="8">
        <f t="shared" si="52"/>
        <v>66.60904314227065</v>
      </c>
      <c r="X182" s="8">
        <f t="shared" si="53"/>
        <v>-49.01473496666593</v>
      </c>
      <c r="Y182" s="8">
        <f>X182-$X$45</f>
        <v>-26.90456725739649</v>
      </c>
      <c r="AA182" s="21">
        <f>Y182-riaa_curve!G166</f>
        <v>0.7098762672514489</v>
      </c>
      <c r="AB182" s="21">
        <f>Y182-riaa_curve!H166</f>
        <v>-2.331573140981373</v>
      </c>
    </row>
    <row r="183" spans="14:28" ht="12.75">
      <c r="N183">
        <v>54047.0440252576</v>
      </c>
      <c r="O183" s="10">
        <f t="shared" si="48"/>
        <v>339587.5929159868</v>
      </c>
      <c r="P183" s="9">
        <f t="shared" si="44"/>
        <v>-7.795644882012363</v>
      </c>
      <c r="Q183" s="9">
        <f t="shared" si="45"/>
        <v>-4.169303633744014</v>
      </c>
      <c r="R183" s="9">
        <f t="shared" si="46"/>
        <v>-100.38959352248008</v>
      </c>
      <c r="S183" s="9">
        <f t="shared" si="47"/>
        <v>-2632.695709143369</v>
      </c>
      <c r="T183" s="9">
        <f t="shared" si="49"/>
        <v>78.15517191679659</v>
      </c>
      <c r="U183" s="10">
        <f t="shared" si="50"/>
        <v>6941164.767429517</v>
      </c>
      <c r="V183" s="8">
        <f t="shared" si="51"/>
        <v>18.929577227340285</v>
      </c>
      <c r="W183" s="8">
        <f t="shared" si="52"/>
        <v>68.41432353685765</v>
      </c>
      <c r="X183" s="8">
        <f t="shared" si="53"/>
        <v>-49.48474630951736</v>
      </c>
      <c r="Y183" s="8">
        <f>X183-$X$45</f>
        <v>-27.374578600247926</v>
      </c>
      <c r="AA183" s="21">
        <f>Y183-riaa_curve!G167</f>
        <v>0.8409858275387627</v>
      </c>
      <c r="AB183" s="21">
        <f>Y183-riaa_curve!H167</f>
        <v>-2.5141845785262227</v>
      </c>
    </row>
    <row r="184" spans="14:28" ht="12.75">
      <c r="N184">
        <v>57926.1875148018</v>
      </c>
      <c r="O184" s="10">
        <f t="shared" si="48"/>
        <v>363960.97029393225</v>
      </c>
      <c r="P184" s="9">
        <f t="shared" si="44"/>
        <v>-8.954844452108652</v>
      </c>
      <c r="Q184" s="9">
        <f t="shared" si="45"/>
        <v>-5.144047612690236</v>
      </c>
      <c r="R184" s="9">
        <f t="shared" si="46"/>
        <v>-115.31736093809383</v>
      </c>
      <c r="S184" s="9">
        <f t="shared" si="47"/>
        <v>-3241.240965783064</v>
      </c>
      <c r="T184" s="9">
        <f t="shared" si="49"/>
        <v>106.65046500308522</v>
      </c>
      <c r="U184" s="10">
        <f t="shared" si="50"/>
        <v>10518941.092004055</v>
      </c>
      <c r="V184" s="8">
        <f t="shared" si="51"/>
        <v>20.27962753342257</v>
      </c>
      <c r="W184" s="8">
        <f t="shared" si="52"/>
        <v>70.2197202298826</v>
      </c>
      <c r="X184" s="8">
        <f t="shared" si="53"/>
        <v>-49.94009269646003</v>
      </c>
      <c r="Y184" s="8">
        <f>X184-$X$45</f>
        <v>-27.82992498719059</v>
      </c>
      <c r="AA184" s="21">
        <f>Y184-riaa_curve!G168</f>
        <v>0.986881723508251</v>
      </c>
      <c r="AB184" s="21">
        <f>Y184-riaa_curve!H168</f>
        <v>-2.702736419880164</v>
      </c>
    </row>
    <row r="185" spans="14:28" ht="12.75">
      <c r="N185">
        <v>62083.750564657</v>
      </c>
      <c r="O185" s="10">
        <f t="shared" si="48"/>
        <v>390083.7093624552</v>
      </c>
      <c r="P185" s="9">
        <f t="shared" si="44"/>
        <v>-10.286415091521194</v>
      </c>
      <c r="Q185" s="9">
        <f t="shared" si="45"/>
        <v>-6.3448900746299755</v>
      </c>
      <c r="R185" s="9">
        <f t="shared" si="46"/>
        <v>-132.46486281385742</v>
      </c>
      <c r="S185" s="9">
        <f t="shared" si="47"/>
        <v>-3990.448945343215</v>
      </c>
      <c r="T185" s="9">
        <f t="shared" si="49"/>
        <v>146.06796549421296</v>
      </c>
      <c r="U185" s="10">
        <f t="shared" si="50"/>
        <v>15941229.725271074</v>
      </c>
      <c r="V185" s="8">
        <f t="shared" si="51"/>
        <v>21.64554980242553</v>
      </c>
      <c r="W185" s="8">
        <f t="shared" si="52"/>
        <v>72.02521820341137</v>
      </c>
      <c r="X185" s="8">
        <f t="shared" si="53"/>
        <v>-50.379668400985835</v>
      </c>
      <c r="Y185" s="8">
        <f>X185-$X$45</f>
        <v>-28.2695006917164</v>
      </c>
      <c r="AA185" s="21">
        <f>Y185-riaa_curve!G169</f>
        <v>1.148654013783176</v>
      </c>
      <c r="AB185" s="21">
        <f>Y185-riaa_curve!H169</f>
        <v>-2.8958228180390044</v>
      </c>
    </row>
    <row r="186" spans="14:28" ht="12.75">
      <c r="N186">
        <v>66539.7163095026</v>
      </c>
      <c r="O186" s="10">
        <f t="shared" si="48"/>
        <v>418081.36785976466</v>
      </c>
      <c r="P186" s="9">
        <f t="shared" si="44"/>
        <v>-11.815988094298126</v>
      </c>
      <c r="Q186" s="9">
        <f t="shared" si="45"/>
        <v>-7.8241492547508615</v>
      </c>
      <c r="R186" s="9">
        <f t="shared" si="46"/>
        <v>-152.16217000726792</v>
      </c>
      <c r="S186" s="9">
        <f t="shared" si="47"/>
        <v>-4912.833113776524</v>
      </c>
      <c r="T186" s="9">
        <f t="shared" si="49"/>
        <v>200.8348862052135</v>
      </c>
      <c r="U186" s="10">
        <f t="shared" si="50"/>
        <v>24159082.52980046</v>
      </c>
      <c r="V186" s="8">
        <f t="shared" si="51"/>
        <v>23.028391545409267</v>
      </c>
      <c r="W186" s="8">
        <f t="shared" si="52"/>
        <v>73.8308043740726</v>
      </c>
      <c r="X186" s="8">
        <f t="shared" si="53"/>
        <v>-50.802412828663336</v>
      </c>
      <c r="Y186" s="8">
        <f>X186-$X$45</f>
        <v>-28.6922451193939</v>
      </c>
      <c r="AA186" s="21">
        <f>Y186-riaa_curve!G170</f>
        <v>1.3273496423144913</v>
      </c>
      <c r="AB186" s="21">
        <f>Y186-riaa_curve!H170</f>
        <v>-3.0918982250126383</v>
      </c>
    </row>
    <row r="187" spans="14:28" ht="12.75">
      <c r="N187" s="15">
        <v>71315.5021452183</v>
      </c>
      <c r="O187" s="10">
        <f t="shared" si="48"/>
        <v>448088.51525296987</v>
      </c>
      <c r="P187" s="9">
        <f t="shared" si="44"/>
        <v>-13.573006086584822</v>
      </c>
      <c r="Q187" s="9">
        <f t="shared" si="45"/>
        <v>-9.646240536029365</v>
      </c>
      <c r="R187" s="9">
        <f t="shared" si="46"/>
        <v>-174.788434380128</v>
      </c>
      <c r="S187" s="9">
        <f t="shared" si="47"/>
        <v>-6048.4222481209445</v>
      </c>
      <c r="T187" s="9">
        <f t="shared" si="49"/>
        <v>277.2764507054047</v>
      </c>
      <c r="U187" s="10">
        <f t="shared" si="50"/>
        <v>36613962.68835747</v>
      </c>
      <c r="V187" s="8">
        <f t="shared" si="51"/>
        <v>24.429129861916717</v>
      </c>
      <c r="W187" s="8">
        <f t="shared" si="52"/>
        <v>75.63646734632809</v>
      </c>
      <c r="X187" s="8">
        <f t="shared" si="53"/>
        <v>-51.20733748441137</v>
      </c>
      <c r="Y187" s="8">
        <f>X187-$X$45</f>
        <v>-29.097169775141932</v>
      </c>
      <c r="AA187" s="21">
        <f>Y187-riaa_curve!G171</f>
        <v>1.5239452125626478</v>
      </c>
      <c r="AB187" s="21">
        <f>Y187-riaa_curve!H171</f>
        <v>-3.2893226577733365</v>
      </c>
    </row>
    <row r="188" spans="14:28" ht="12.75">
      <c r="N188" s="15">
        <v>76434.062666695</v>
      </c>
      <c r="O188" s="10">
        <f t="shared" si="48"/>
        <v>480249.37951542175</v>
      </c>
      <c r="P188" s="9">
        <f t="shared" si="44"/>
        <v>-15.591289764024705</v>
      </c>
      <c r="Q188" s="9">
        <f t="shared" si="45"/>
        <v>-11.890472928760314</v>
      </c>
      <c r="R188" s="9">
        <f t="shared" si="46"/>
        <v>-200.7791870449599</v>
      </c>
      <c r="S188" s="9">
        <f t="shared" si="47"/>
        <v>-7446.497558140153</v>
      </c>
      <c r="T188" s="9">
        <f t="shared" si="49"/>
        <v>384.4716629753634</v>
      </c>
      <c r="U188" s="10">
        <f t="shared" si="50"/>
        <v>55490638.1653377</v>
      </c>
      <c r="V188" s="8">
        <f t="shared" si="51"/>
        <v>25.848643361610023</v>
      </c>
      <c r="W188" s="8">
        <f t="shared" si="52"/>
        <v>77.44219719409426</v>
      </c>
      <c r="X188" s="8">
        <f t="shared" si="53"/>
        <v>-51.59355383248424</v>
      </c>
      <c r="Y188" s="8">
        <f>X188-$X$45</f>
        <v>-29.483386123214803</v>
      </c>
      <c r="AA188" s="21">
        <f>Y188-riaa_curve!G172</f>
        <v>1.739318901807163</v>
      </c>
      <c r="AB188" s="21">
        <f>Y188-riaa_curve!H172</f>
        <v>-3.4864127427697333</v>
      </c>
    </row>
    <row r="189" spans="14:28" ht="12.75">
      <c r="N189" s="15">
        <v>81920.999999997</v>
      </c>
      <c r="O189" s="10">
        <f t="shared" si="48"/>
        <v>514724.8235494401</v>
      </c>
      <c r="P189" s="9">
        <f t="shared" si="44"/>
        <v>-17.91012615514912</v>
      </c>
      <c r="Q189" s="9">
        <f t="shared" si="45"/>
        <v>-14.655031195658236</v>
      </c>
      <c r="R189" s="9">
        <f t="shared" si="46"/>
        <v>-230.640352641054</v>
      </c>
      <c r="S189" s="9">
        <f t="shared" si="47"/>
        <v>-9168.06707457047</v>
      </c>
      <c r="T189" s="9">
        <f t="shared" si="49"/>
        <v>535.5425582390726</v>
      </c>
      <c r="U189" s="10">
        <f t="shared" si="50"/>
        <v>84106648.85608953</v>
      </c>
      <c r="V189" s="8">
        <f t="shared" si="51"/>
        <v>27.287939888447706</v>
      </c>
      <c r="W189" s="8">
        <f t="shared" si="52"/>
        <v>79.24830329298184</v>
      </c>
      <c r="X189" s="8">
        <f t="shared" si="53"/>
        <v>-51.960363404534135</v>
      </c>
      <c r="Y189" s="8">
        <f>X189-$X$45</f>
        <v>-29.8501956952647</v>
      </c>
      <c r="AA189" s="21">
        <f>Y189-riaa_curve!G173</f>
        <v>1.9741601561188595</v>
      </c>
      <c r="AB189" s="21">
        <f>Y189-riaa_curve!H173</f>
        <v>-3.6815582860720433</v>
      </c>
    </row>
    <row r="190" spans="14:28" ht="12.75">
      <c r="N190">
        <v>87799.6820509729</v>
      </c>
      <c r="O190" s="10">
        <f t="shared" si="48"/>
        <v>551661.6722377122</v>
      </c>
      <c r="P190" s="9">
        <f t="shared" si="44"/>
        <v>-20.572830182783083</v>
      </c>
      <c r="Q190" s="9">
        <f t="shared" si="45"/>
        <v>-18.05851841309661</v>
      </c>
      <c r="R190" s="9">
        <f t="shared" si="46"/>
        <v>-264.92972562437564</v>
      </c>
      <c r="S190" s="9">
        <f t="shared" si="47"/>
        <v>-11286.819937721317</v>
      </c>
      <c r="T190" s="9">
        <f t="shared" si="49"/>
        <v>749.3514290057799</v>
      </c>
      <c r="U190" s="10">
        <f t="shared" si="50"/>
        <v>127462492.06606284</v>
      </c>
      <c r="V190" s="8">
        <f t="shared" si="51"/>
        <v>28.746855398407945</v>
      </c>
      <c r="W190" s="8">
        <f t="shared" si="52"/>
        <v>81.05382405278002</v>
      </c>
      <c r="X190" s="8">
        <f t="shared" si="53"/>
        <v>-52.30696865437207</v>
      </c>
      <c r="Y190" s="8">
        <f>X190-$X$45</f>
        <v>-30.196800945102634</v>
      </c>
      <c r="AA190" s="21">
        <f>Y190-riaa_curve!G174</f>
        <v>2.229258663768217</v>
      </c>
      <c r="AB190" s="21">
        <f>Y190-riaa_curve!H174</f>
        <v>-3.872961178877272</v>
      </c>
    </row>
    <row r="191" spans="14:28" ht="12.75">
      <c r="N191">
        <v>94101.3692413568</v>
      </c>
      <c r="O191" s="10">
        <f t="shared" si="48"/>
        <v>591256.3406027742</v>
      </c>
      <c r="P191" s="9">
        <f t="shared" si="44"/>
        <v>-23.63197618859625</v>
      </c>
      <c r="Q191" s="9">
        <f t="shared" si="45"/>
        <v>-22.250566790838565</v>
      </c>
      <c r="R191" s="9">
        <f t="shared" si="46"/>
        <v>-304.32434001453584</v>
      </c>
      <c r="S191" s="9">
        <f t="shared" si="47"/>
        <v>-13895.725375719445</v>
      </c>
      <c r="T191" s="9">
        <f t="shared" si="49"/>
        <v>1053.5580210919481</v>
      </c>
      <c r="U191" s="10">
        <f t="shared" si="50"/>
        <v>193183797.02133858</v>
      </c>
      <c r="V191" s="8">
        <f t="shared" si="51"/>
        <v>30.226584578807124</v>
      </c>
      <c r="W191" s="8">
        <f t="shared" si="52"/>
        <v>82.85970697859405</v>
      </c>
      <c r="X191" s="8">
        <f t="shared" si="53"/>
        <v>-52.63312239978693</v>
      </c>
      <c r="Y191" s="8">
        <f>X191-$X$45</f>
        <v>-30.52295469051749</v>
      </c>
      <c r="AA191" s="21">
        <f>Y191-riaa_curve!G175</f>
        <v>2.5048547635440634</v>
      </c>
      <c r="AB191" s="21">
        <f>Y191-riaa_curve!H175</f>
        <v>-4.05931288021679</v>
      </c>
    </row>
  </sheetData>
  <printOptions/>
  <pageMargins left="0.7875" right="0.7875" top="0.7875" bottom="0.7875" header="0.5" footer="0.5"/>
  <pageSetup cellComments="asDisplayed" horizontalDpi="300" verticalDpi="300" orientation="portrait" paperSize="9"/>
  <headerFooter alignWithMargins="0">
    <oddHeader>&amp;C&amp;A</oddHeader>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Y191"/>
  <sheetViews>
    <sheetView tabSelected="1" workbookViewId="0" topLeftCell="A1">
      <selection activeCell="C7" sqref="C7"/>
    </sheetView>
  </sheetViews>
  <sheetFormatPr defaultColWidth="9.140625" defaultRowHeight="12.75"/>
  <cols>
    <col min="1" max="2" width="11.28125" style="0" customWidth="1"/>
    <col min="3" max="3" width="11.421875" style="0" customWidth="1"/>
    <col min="4" max="4" width="6.7109375" style="0" customWidth="1"/>
    <col min="5" max="5" width="15.28125" style="0" customWidth="1"/>
    <col min="8" max="8" width="6.7109375" style="0" customWidth="1"/>
    <col min="9" max="9" width="45.7109375" style="0" customWidth="1"/>
    <col min="10" max="16384" width="11.28125" style="0" customWidth="1"/>
  </cols>
  <sheetData>
    <row r="1" spans="1:8" ht="12.75">
      <c r="A1" s="24" t="s">
        <v>118</v>
      </c>
      <c r="F1" s="9"/>
      <c r="G1" s="9"/>
      <c r="H1" s="9"/>
    </row>
    <row r="2" spans="1:8" ht="12.75">
      <c r="A2" s="41"/>
      <c r="D2" s="12"/>
      <c r="E2" s="50"/>
      <c r="G2" s="9"/>
      <c r="H2" s="9"/>
    </row>
    <row r="3" spans="1:8" ht="12.75">
      <c r="A3" s="53"/>
      <c r="B3" s="58" t="s">
        <v>104</v>
      </c>
      <c r="C3" s="56" t="s">
        <v>103</v>
      </c>
      <c r="D3" s="47"/>
      <c r="E3" s="70" t="s">
        <v>22</v>
      </c>
      <c r="F3" s="65">
        <v>1</v>
      </c>
      <c r="G3" s="40"/>
      <c r="H3" s="16" t="s">
        <v>113</v>
      </c>
    </row>
    <row r="4" spans="1:9" ht="12.75">
      <c r="A4" s="54" t="s">
        <v>89</v>
      </c>
      <c r="B4" s="82">
        <v>4.7E-07</v>
      </c>
      <c r="C4" s="81">
        <v>3.6E-07</v>
      </c>
      <c r="D4" s="48"/>
      <c r="E4" s="71" t="s">
        <v>110</v>
      </c>
      <c r="F4" s="66">
        <f>1/(1/B4+1/C4)</f>
        <v>2.0385542168674696E-07</v>
      </c>
      <c r="G4" s="40"/>
      <c r="H4" s="38">
        <v>1</v>
      </c>
      <c r="I4" t="s">
        <v>114</v>
      </c>
    </row>
    <row r="5" spans="1:9" ht="12.75">
      <c r="A5" s="43" t="s">
        <v>23</v>
      </c>
      <c r="B5" s="83">
        <v>2.2000000000000002E-08</v>
      </c>
      <c r="C5" s="57" t="s">
        <v>24</v>
      </c>
      <c r="D5" s="49"/>
      <c r="E5" s="72" t="s">
        <v>23</v>
      </c>
      <c r="F5" s="67">
        <f>B5</f>
        <v>2.2000000000000002E-08</v>
      </c>
      <c r="G5" s="40"/>
      <c r="H5" s="38">
        <v>2</v>
      </c>
      <c r="I5" t="s">
        <v>115</v>
      </c>
    </row>
    <row r="6" spans="1:9" ht="12.75">
      <c r="A6" s="43" t="s">
        <v>25</v>
      </c>
      <c r="B6" s="83">
        <v>2.2000000000000003E-09</v>
      </c>
      <c r="C6" s="44" t="s">
        <v>24</v>
      </c>
      <c r="E6" s="72" t="s">
        <v>26</v>
      </c>
      <c r="F6" s="67">
        <f>B7+B6</f>
        <v>2.3660000000000003E-09</v>
      </c>
      <c r="G6" s="40"/>
      <c r="H6" s="38">
        <v>3</v>
      </c>
      <c r="I6" s="87" t="s">
        <v>116</v>
      </c>
    </row>
    <row r="7" spans="1:9" ht="12.75">
      <c r="A7" s="55" t="s">
        <v>27</v>
      </c>
      <c r="B7" s="83">
        <v>1.66E-10</v>
      </c>
      <c r="C7" s="44" t="s">
        <v>24</v>
      </c>
      <c r="E7" s="72"/>
      <c r="F7" s="51"/>
      <c r="G7" s="40"/>
      <c r="H7" s="38"/>
      <c r="I7" s="87"/>
    </row>
    <row r="8" spans="1:9" ht="12.75">
      <c r="A8" s="43" t="s">
        <v>28</v>
      </c>
      <c r="B8" s="84">
        <v>44117.68</v>
      </c>
      <c r="C8" s="44" t="s">
        <v>29</v>
      </c>
      <c r="E8" s="72"/>
      <c r="F8" s="51"/>
      <c r="G8" s="40"/>
      <c r="H8" s="38">
        <v>4</v>
      </c>
      <c r="I8" s="87" t="s">
        <v>117</v>
      </c>
    </row>
    <row r="9" spans="1:9" ht="12.75">
      <c r="A9" s="43" t="s">
        <v>30</v>
      </c>
      <c r="B9" s="85">
        <v>90000</v>
      </c>
      <c r="C9" s="44" t="s">
        <v>29</v>
      </c>
      <c r="E9" s="73" t="s">
        <v>111</v>
      </c>
      <c r="F9" s="68">
        <f>B8+B9</f>
        <v>134117.68</v>
      </c>
      <c r="G9" s="40"/>
      <c r="H9" s="38"/>
      <c r="I9" s="87"/>
    </row>
    <row r="10" spans="1:8" ht="12.75">
      <c r="A10" s="43" t="s">
        <v>31</v>
      </c>
      <c r="B10" s="85">
        <v>14454</v>
      </c>
      <c r="C10" s="44" t="s">
        <v>29</v>
      </c>
      <c r="E10" s="72" t="s">
        <v>31</v>
      </c>
      <c r="F10" s="68">
        <f>B10</f>
        <v>14454</v>
      </c>
      <c r="G10" s="40"/>
      <c r="H10" s="38"/>
    </row>
    <row r="11" spans="1:8" ht="12.75">
      <c r="A11" s="43" t="s">
        <v>32</v>
      </c>
      <c r="B11" s="85">
        <v>20400</v>
      </c>
      <c r="C11" s="57" t="s">
        <v>29</v>
      </c>
      <c r="D11" s="49"/>
      <c r="E11" s="72" t="s">
        <v>32</v>
      </c>
      <c r="F11" s="68">
        <f>B11</f>
        <v>20400</v>
      </c>
      <c r="G11" s="40"/>
      <c r="H11" s="38"/>
    </row>
    <row r="12" spans="1:8" ht="12.75">
      <c r="A12" s="43" t="s">
        <v>33</v>
      </c>
      <c r="B12" s="85">
        <v>1350</v>
      </c>
      <c r="C12" s="57" t="s">
        <v>29</v>
      </c>
      <c r="D12" s="49"/>
      <c r="E12" s="72" t="s">
        <v>33</v>
      </c>
      <c r="F12" s="68">
        <f>B12</f>
        <v>1350</v>
      </c>
      <c r="G12" s="40"/>
      <c r="H12" s="38"/>
    </row>
    <row r="13" spans="1:8" ht="12.75">
      <c r="A13" s="45" t="s">
        <v>34</v>
      </c>
      <c r="B13" s="86">
        <v>2000000</v>
      </c>
      <c r="C13" s="46"/>
      <c r="E13" s="74" t="s">
        <v>34</v>
      </c>
      <c r="F13" s="69">
        <f>B13</f>
        <v>2000000</v>
      </c>
      <c r="G13" s="40"/>
      <c r="H13" s="39"/>
    </row>
    <row r="14" spans="3:8" ht="12.75">
      <c r="C14" s="42"/>
      <c r="D14" s="9"/>
      <c r="E14" s="42"/>
      <c r="G14" s="9"/>
      <c r="H14" s="9"/>
    </row>
    <row r="15" spans="1:8" ht="12.75">
      <c r="A15" s="13"/>
      <c r="B15" s="10"/>
      <c r="C15" s="9"/>
      <c r="D15" s="9"/>
      <c r="E15" s="9"/>
      <c r="F15" s="9"/>
      <c r="G15" s="9"/>
      <c r="H15" s="9"/>
    </row>
    <row r="40" s="25" customFormat="1" ht="12.75"/>
    <row r="45" spans="9:22" ht="12.75">
      <c r="I45" s="13">
        <v>1000</v>
      </c>
      <c r="J45" s="10">
        <f>(2*PI()*I45)</f>
        <v>6283.185307179586</v>
      </c>
      <c r="K45" s="9">
        <f>-J45*J45*$F$4*($F$6*$F$12+$F$5*$F$10)</f>
        <v>-0.002584838039984201</v>
      </c>
      <c r="L45" s="9">
        <f>J45*$F$4*(1-J45*J45*$F$5*$F$6*$F$10*$F$12)</f>
        <v>0.001229501851979826</v>
      </c>
      <c r="M45" s="9">
        <f>-J45*J45*(($F$5*$F$6*($F$10+$F$11+$F$12))+$F$4*($F$5*$F$10+$F$6*$F$11+$F$6*$F$12+$F$5*$F$9+$F$6*$F$9))</f>
        <v>-0.02934746706528508</v>
      </c>
      <c r="N45" s="9">
        <f>J45*($F$4-$F$4*J45*J45*$F$5*$F$6*($F$10*$F$12+$F$10*$F$11+$F$9*$F$10+$F$9*$F$11+$F$9*$F$12)+$F$5+$F$6)</f>
        <v>-0.012173826247608505</v>
      </c>
      <c r="O45" s="9">
        <f>K45*K45+L45*L45</f>
        <v>8.193062496971188E-06</v>
      </c>
      <c r="P45" s="10">
        <f>M45*M45+N45*N45</f>
        <v>0.0010094758686549543</v>
      </c>
      <c r="Q45" s="8">
        <f>10*LOG10(O45)</f>
        <v>-50.86553732314265</v>
      </c>
      <c r="R45" s="8">
        <f>10*LOG10(P45)</f>
        <v>-29.959040583303032</v>
      </c>
      <c r="S45" s="8">
        <f>Q45-R45</f>
        <v>-20.906496739839614</v>
      </c>
      <c r="T45" s="8">
        <f>S45-$S$45</f>
        <v>0</v>
      </c>
      <c r="V45" s="11"/>
    </row>
    <row r="46" spans="9:22" ht="12.75">
      <c r="I46" s="13"/>
      <c r="J46" s="10"/>
      <c r="K46" s="9"/>
      <c r="L46" s="9"/>
      <c r="M46" s="9"/>
      <c r="N46" s="9"/>
      <c r="O46" s="9">
        <f>K46*K46+L46*L46</f>
        <v>0</v>
      </c>
      <c r="P46" s="10">
        <f>M46*M46+N46*N46</f>
        <v>0</v>
      </c>
      <c r="Q46" s="8" t="e">
        <f>10*LOG10(O46)</f>
        <v>#NUM!</v>
      </c>
      <c r="R46" s="8" t="e">
        <f>10*LOG10(P46)</f>
        <v>#NUM!</v>
      </c>
      <c r="S46" s="8"/>
      <c r="T46" s="8"/>
      <c r="V46" s="11"/>
    </row>
    <row r="47" spans="9:23" ht="12.75">
      <c r="I47" s="13"/>
      <c r="J47" s="10"/>
      <c r="K47" s="9"/>
      <c r="L47" s="9"/>
      <c r="M47" s="9"/>
      <c r="N47" s="9"/>
      <c r="O47" s="9"/>
      <c r="P47" s="10"/>
      <c r="T47" t="s">
        <v>35</v>
      </c>
      <c r="V47" s="11" t="s">
        <v>36</v>
      </c>
      <c r="W47" t="s">
        <v>94</v>
      </c>
    </row>
    <row r="48" spans="9:23" ht="12.75">
      <c r="I48" s="24" t="s">
        <v>37</v>
      </c>
      <c r="J48" s="25" t="s">
        <v>38</v>
      </c>
      <c r="K48" s="26" t="s">
        <v>107</v>
      </c>
      <c r="L48" s="26" t="s">
        <v>108</v>
      </c>
      <c r="M48" s="26" t="s">
        <v>106</v>
      </c>
      <c r="N48" s="26" t="s">
        <v>109</v>
      </c>
      <c r="O48" s="26" t="s">
        <v>39</v>
      </c>
      <c r="P48" s="27" t="s">
        <v>40</v>
      </c>
      <c r="Q48" s="25" t="s">
        <v>41</v>
      </c>
      <c r="R48" s="24" t="s">
        <v>42</v>
      </c>
      <c r="S48" s="25" t="s">
        <v>43</v>
      </c>
      <c r="T48" s="25" t="s">
        <v>44</v>
      </c>
      <c r="U48" s="25"/>
      <c r="V48" s="30" t="s">
        <v>70</v>
      </c>
      <c r="W48" s="31" t="s">
        <v>71</v>
      </c>
    </row>
    <row r="49" spans="9:23" ht="12.75">
      <c r="I49" s="13">
        <v>5</v>
      </c>
      <c r="J49" s="10">
        <f aca="true" t="shared" si="0" ref="J49:J80">(2*PI()*I49)</f>
        <v>31.41592653589793</v>
      </c>
      <c r="K49" s="9">
        <f aca="true" t="shared" si="1" ref="K49:K80">-J49*J49*$F$4*($F$6*$F$12+$F$5*$F$10)</f>
        <v>-6.462095099960505E-08</v>
      </c>
      <c r="L49" s="9">
        <f aca="true" t="shared" si="2" ref="L49:L80">J49*$F$4*(1-J49*J49*$F$5*$F$6*$F$10*$F$12)</f>
        <v>6.404300531713043E-06</v>
      </c>
      <c r="M49" s="9">
        <f aca="true" t="shared" si="3" ref="M49:M80">-J49*J49*(($F$5*$F$6*($F$10+$F$11+$F$12))+$F$4*($F$5*$F$10+$F$6*$F$11+$F$6*$F$12+$F$5*$F$9+$F$6*$F$9))</f>
        <v>-7.33686676632127E-07</v>
      </c>
      <c r="N49" s="9">
        <f aca="true" t="shared" si="4" ref="N49:N80">J49*($F$4-$F$4*J49*J49*$F$5*$F$6*($F$10*$F$12+$F$10*$F$11+$F$9*$F$10+$F$9*$F$11+$F$9*$F$12)+$F$5+$F$6)</f>
        <v>7.168086444662634E-06</v>
      </c>
      <c r="O49" s="9">
        <f aca="true" t="shared" si="5" ref="O49:O80">K49*K49+L49*L49</f>
        <v>4.1019241167808055E-11</v>
      </c>
      <c r="P49" s="10">
        <f aca="true" t="shared" si="6" ref="P49:P80">M49*M49+N49*N49</f>
        <v>5.19197594176237E-11</v>
      </c>
      <c r="Q49" s="8">
        <f aca="true" t="shared" si="7" ref="Q49:Q80">10*LOG10(O49)</f>
        <v>-103.87012378089592</v>
      </c>
      <c r="R49" s="8">
        <f aca="true" t="shared" si="8" ref="R49:R80">10*LOG10(P49)</f>
        <v>-102.84667328608315</v>
      </c>
      <c r="S49" s="8">
        <f aca="true" t="shared" si="9" ref="S49:S80">Q49-R49</f>
        <v>-1.0234504948127778</v>
      </c>
      <c r="T49" s="8">
        <f aca="true" t="shared" si="10" ref="T49:T80">S49-$S$45</f>
        <v>19.883046245026836</v>
      </c>
      <c r="V49" s="21">
        <f>T49-riaa_curve!G33</f>
        <v>0.014748563504447532</v>
      </c>
      <c r="W49" s="21">
        <f>T49-riaa_curve!H33</f>
        <v>0.016481971330012612</v>
      </c>
    </row>
    <row r="50" spans="9:23" ht="12.75">
      <c r="I50" s="13">
        <v>5.35886731268147</v>
      </c>
      <c r="J50" s="10">
        <f t="shared" si="0"/>
        <v>33.670756362165164</v>
      </c>
      <c r="K50" s="9">
        <f t="shared" si="1"/>
        <v>-7.422998011159043E-08</v>
      </c>
      <c r="L50" s="9">
        <f t="shared" si="2"/>
        <v>6.8639583328448085E-06</v>
      </c>
      <c r="M50" s="9">
        <f t="shared" si="3"/>
        <v>-8.42784678530567E-07</v>
      </c>
      <c r="N50" s="9">
        <f t="shared" si="4"/>
        <v>7.68229374287659E-06</v>
      </c>
      <c r="O50" s="9">
        <f t="shared" si="5"/>
        <v>4.711943408497705E-11</v>
      </c>
      <c r="P50" s="10">
        <f t="shared" si="6"/>
        <v>5.972792316620669E-11</v>
      </c>
      <c r="Q50" s="8">
        <f t="shared" si="7"/>
        <v>-103.26799934164241</v>
      </c>
      <c r="R50" s="8">
        <f t="shared" si="8"/>
        <v>-102.23822586092327</v>
      </c>
      <c r="S50" s="8">
        <f t="shared" si="9"/>
        <v>-1.0297734807191432</v>
      </c>
      <c r="T50" s="8">
        <f t="shared" si="10"/>
        <v>19.87672325912047</v>
      </c>
      <c r="V50" s="21">
        <f>T50-riaa_curve!G34</f>
        <v>0.01474165998439858</v>
      </c>
      <c r="W50" s="21">
        <f>T50-riaa_curve!H34</f>
        <v>0.016475061364644716</v>
      </c>
    </row>
    <row r="51" spans="9:23" ht="12.75">
      <c r="I51" s="13">
        <v>5.74349177498517</v>
      </c>
      <c r="J51" s="10">
        <f t="shared" si="0"/>
        <v>36.08742313249362</v>
      </c>
      <c r="K51" s="9">
        <f t="shared" si="1"/>
        <v>-8.526785604564626E-08</v>
      </c>
      <c r="L51" s="9">
        <f t="shared" si="2"/>
        <v>7.356607129449663E-06</v>
      </c>
      <c r="M51" s="9">
        <f t="shared" si="3"/>
        <v>-9.681053738447642E-07</v>
      </c>
      <c r="N51" s="9">
        <f t="shared" si="4"/>
        <v>8.233344819404549E-06</v>
      </c>
      <c r="O51" s="9">
        <f t="shared" si="5"/>
        <v>5.412693906434423E-11</v>
      </c>
      <c r="P51" s="10">
        <f t="shared" si="6"/>
        <v>6.872519493008283E-11</v>
      </c>
      <c r="Q51" s="8">
        <f t="shared" si="7"/>
        <v>-102.66586532026841</v>
      </c>
      <c r="R51" s="8">
        <f t="shared" si="8"/>
        <v>-101.62884019662897</v>
      </c>
      <c r="S51" s="8">
        <f t="shared" si="9"/>
        <v>-1.037025123639438</v>
      </c>
      <c r="T51" s="8">
        <f t="shared" si="10"/>
        <v>19.869471616200176</v>
      </c>
      <c r="V51" s="21">
        <f>T51-riaa_curve!G35</f>
        <v>0.01473375471053373</v>
      </c>
      <c r="W51" s="21">
        <f>T51-riaa_curve!H35</f>
        <v>0.016467148687052457</v>
      </c>
    </row>
    <row r="52" spans="9:23" ht="12.75">
      <c r="I52" s="13">
        <v>6.15572206672458</v>
      </c>
      <c r="J52" s="10">
        <f t="shared" si="0"/>
        <v>38.67754244472504</v>
      </c>
      <c r="K52" s="9">
        <f t="shared" si="1"/>
        <v>-9.7947045973758E-08</v>
      </c>
      <c r="L52" s="9">
        <f t="shared" si="2"/>
        <v>7.884614744840549E-06</v>
      </c>
      <c r="M52" s="9">
        <f t="shared" si="3"/>
        <v>-1.112061050399272E-06</v>
      </c>
      <c r="N52" s="9">
        <f t="shared" si="4"/>
        <v>8.823869596293938E-06</v>
      </c>
      <c r="O52" s="9">
        <f t="shared" si="5"/>
        <v>6.217674329837198E-11</v>
      </c>
      <c r="P52" s="10">
        <f t="shared" si="6"/>
        <v>7.909735443221567E-11</v>
      </c>
      <c r="Q52" s="8">
        <f t="shared" si="7"/>
        <v>-102.06372029230533</v>
      </c>
      <c r="R52" s="8">
        <f t="shared" si="8"/>
        <v>-101.01838042099095</v>
      </c>
      <c r="S52" s="8">
        <f t="shared" si="9"/>
        <v>-1.0453398713143827</v>
      </c>
      <c r="T52" s="8">
        <f t="shared" si="10"/>
        <v>19.86115686852523</v>
      </c>
      <c r="V52" s="21">
        <f>T52-riaa_curve!G36</f>
        <v>0.014724706477739602</v>
      </c>
      <c r="W52" s="21">
        <f>T52-riaa_curve!H36</f>
        <v>0.016458091949605347</v>
      </c>
    </row>
    <row r="53" spans="9:23" ht="12.75">
      <c r="I53" s="13">
        <v>6.59753955386447</v>
      </c>
      <c r="J53" s="10">
        <f t="shared" si="0"/>
        <v>41.4535635883774</v>
      </c>
      <c r="K53" s="9">
        <f t="shared" si="1"/>
        <v>-1.1251161058687475E-07</v>
      </c>
      <c r="L53" s="9">
        <f t="shared" si="2"/>
        <v>8.45051893657275E-06</v>
      </c>
      <c r="M53" s="9">
        <f t="shared" si="3"/>
        <v>-1.2774226992499185E-06</v>
      </c>
      <c r="N53" s="9">
        <f t="shared" si="4"/>
        <v>9.456683406424681E-06</v>
      </c>
      <c r="O53" s="9">
        <f t="shared" si="5"/>
        <v>7.14239291598915E-11</v>
      </c>
      <c r="P53" s="10">
        <f t="shared" si="6"/>
        <v>9.106066980190686E-11</v>
      </c>
      <c r="Q53" s="8">
        <f t="shared" si="7"/>
        <v>-101.4615626215889</v>
      </c>
      <c r="R53" s="8">
        <f t="shared" si="8"/>
        <v>-100.40669159538456</v>
      </c>
      <c r="S53" s="8">
        <f t="shared" si="9"/>
        <v>-1.0548710262043386</v>
      </c>
      <c r="T53" s="8">
        <f t="shared" si="10"/>
        <v>19.851625713635276</v>
      </c>
      <c r="V53" s="21">
        <f>T53-riaa_curve!G37</f>
        <v>0.014714355477760677</v>
      </c>
      <c r="W53" s="21">
        <f>T53-riaa_curve!H37</f>
        <v>0.01644773118035303</v>
      </c>
    </row>
    <row r="54" spans="9:23" ht="12.75">
      <c r="I54" s="13">
        <v>7.07106781186547</v>
      </c>
      <c r="J54" s="10">
        <f t="shared" si="0"/>
        <v>44.428829381583625</v>
      </c>
      <c r="K54" s="9">
        <f t="shared" si="1"/>
        <v>-1.2924190199920988E-07</v>
      </c>
      <c r="L54" s="9">
        <f t="shared" si="2"/>
        <v>9.05703959029234E-06</v>
      </c>
      <c r="M54" s="9">
        <f t="shared" si="3"/>
        <v>-1.4673733532642518E-06</v>
      </c>
      <c r="N54" s="9">
        <f t="shared" si="4"/>
        <v>1.0134799527266328E-05</v>
      </c>
      <c r="O54" s="9">
        <f t="shared" si="5"/>
        <v>8.20466696093552E-11</v>
      </c>
      <c r="P54" s="10">
        <f t="shared" si="6"/>
        <v>1.0486734601574775E-10</v>
      </c>
      <c r="Q54" s="8">
        <f t="shared" si="7"/>
        <v>-100.85939042881874</v>
      </c>
      <c r="R54" s="8">
        <f t="shared" si="8"/>
        <v>-99.7935972298737</v>
      </c>
      <c r="S54" s="8">
        <f t="shared" si="9"/>
        <v>-1.0657931989450447</v>
      </c>
      <c r="T54" s="8">
        <f t="shared" si="10"/>
        <v>19.84070354089457</v>
      </c>
      <c r="V54" s="21">
        <f>T54-riaa_curve!G38</f>
        <v>0.014702521255856027</v>
      </c>
      <c r="W54" s="21">
        <f>T54-riaa_curve!H38</f>
        <v>0.016435885736491684</v>
      </c>
    </row>
    <row r="55" spans="9:23" ht="12.75">
      <c r="I55" s="13">
        <v>7.57858283255199</v>
      </c>
      <c r="J55" s="10">
        <f t="shared" si="0"/>
        <v>47.61764030273412</v>
      </c>
      <c r="K55" s="9">
        <f t="shared" si="1"/>
        <v>-1.4845996022318064E-07</v>
      </c>
      <c r="L55" s="9">
        <f t="shared" si="2"/>
        <v>9.70709178810418E-06</v>
      </c>
      <c r="M55" s="9">
        <f t="shared" si="3"/>
        <v>-1.6855693570611318E-06</v>
      </c>
      <c r="N55" s="9">
        <f t="shared" si="4"/>
        <v>1.0861442435361945E-05</v>
      </c>
      <c r="O55" s="9">
        <f t="shared" si="5"/>
        <v>9.424967134246907E-11</v>
      </c>
      <c r="P55" s="10">
        <f t="shared" si="6"/>
        <v>1.208120758341447E-10</v>
      </c>
      <c r="Q55" s="8">
        <f t="shared" si="7"/>
        <v>-100.25720155545523</v>
      </c>
      <c r="R55" s="8">
        <f t="shared" si="8"/>
        <v>-99.17889653413414</v>
      </c>
      <c r="S55" s="8">
        <f t="shared" si="9"/>
        <v>-1.0783050213210856</v>
      </c>
      <c r="T55" s="8">
        <f t="shared" si="10"/>
        <v>19.82819171851853</v>
      </c>
      <c r="V55" s="21">
        <f>T55-riaa_curve!G39</f>
        <v>0.014689000573945066</v>
      </c>
      <c r="W55" s="21">
        <f>T55-riaa_curve!H39</f>
        <v>0.016422352163946385</v>
      </c>
    </row>
    <row r="56" spans="9:23" ht="12.75">
      <c r="I56" s="13">
        <v>8.12252396356235</v>
      </c>
      <c r="J56" s="10">
        <f t="shared" si="0"/>
        <v>51.03532322506905</v>
      </c>
      <c r="K56" s="9">
        <f t="shared" si="1"/>
        <v>-1.705357120912926E-07</v>
      </c>
      <c r="L56" s="9">
        <f t="shared" si="2"/>
        <v>1.0403799814070756E-05</v>
      </c>
      <c r="M56" s="9">
        <f t="shared" si="3"/>
        <v>-1.936210747689529E-06</v>
      </c>
      <c r="N56" s="9">
        <f t="shared" si="4"/>
        <v>1.1640061791924434E-05</v>
      </c>
      <c r="O56" s="9">
        <f t="shared" si="5"/>
        <v>1.0826813300035718E-10</v>
      </c>
      <c r="P56" s="10">
        <f t="shared" si="6"/>
        <v>1.3923995057928752E-10</v>
      </c>
      <c r="Q56" s="8">
        <f t="shared" si="7"/>
        <v>-99.65499352226405</v>
      </c>
      <c r="R56" s="8">
        <f t="shared" si="8"/>
        <v>-98.56236139532726</v>
      </c>
      <c r="S56" s="8">
        <f t="shared" si="9"/>
        <v>-1.0926321269367918</v>
      </c>
      <c r="T56" s="8">
        <f t="shared" si="10"/>
        <v>19.813864612902822</v>
      </c>
      <c r="V56" s="21">
        <f>T56-riaa_curve!G40</f>
        <v>0.01467356522370622</v>
      </c>
      <c r="W56" s="21">
        <f>T56-riaa_curve!H40</f>
        <v>0.01640690200624917</v>
      </c>
    </row>
    <row r="57" spans="9:23" ht="12.75">
      <c r="I57" s="13">
        <v>8.70550563296124</v>
      </c>
      <c r="J57" s="10">
        <f t="shared" si="0"/>
        <v>54.69830508459118</v>
      </c>
      <c r="K57" s="9">
        <f t="shared" si="1"/>
        <v>-1.9589409194751597E-07</v>
      </c>
      <c r="L57" s="9">
        <f t="shared" si="2"/>
        <v>1.1150512163911096E-05</v>
      </c>
      <c r="M57" s="9">
        <f t="shared" si="3"/>
        <v>-2.224122100798544E-06</v>
      </c>
      <c r="N57" s="9">
        <f t="shared" si="4"/>
        <v>1.2474347161120161E-05</v>
      </c>
      <c r="O57" s="9">
        <f t="shared" si="5"/>
        <v>1.2437229601278926E-10</v>
      </c>
      <c r="P57" s="10">
        <f t="shared" si="6"/>
        <v>1.6055605621540715E-10</v>
      </c>
      <c r="Q57" s="8">
        <f t="shared" si="7"/>
        <v>-99.05276348171768</v>
      </c>
      <c r="R57" s="8">
        <f t="shared" si="8"/>
        <v>-97.9437330808984</v>
      </c>
      <c r="S57" s="8">
        <f t="shared" si="9"/>
        <v>-1.1090304008192788</v>
      </c>
      <c r="T57" s="8">
        <f t="shared" si="10"/>
        <v>19.797466339020335</v>
      </c>
      <c r="V57" s="21">
        <f>T57-riaa_curve!G41</f>
        <v>0.014655959852891698</v>
      </c>
      <c r="W57" s="21">
        <f>T57-riaa_curve!H41</f>
        <v>0.016389279626132236</v>
      </c>
    </row>
    <row r="58" spans="9:23" ht="12.75">
      <c r="I58" s="13">
        <v>9.33032991536807</v>
      </c>
      <c r="J58" s="10">
        <f t="shared" si="0"/>
        <v>58.62419183537881</v>
      </c>
      <c r="K58" s="9">
        <f t="shared" si="1"/>
        <v>-2.250232211737494E-07</v>
      </c>
      <c r="L58" s="9">
        <f t="shared" si="2"/>
        <v>1.1950817630737794E-05</v>
      </c>
      <c r="M58" s="9">
        <f t="shared" si="3"/>
        <v>-2.5548453984998356E-06</v>
      </c>
      <c r="N58" s="9">
        <f t="shared" si="4"/>
        <v>1.3368243450962026E-05</v>
      </c>
      <c r="O58" s="9">
        <f t="shared" si="5"/>
        <v>1.4287267749322072E-10</v>
      </c>
      <c r="P58" s="10">
        <f t="shared" si="6"/>
        <v>1.8523716797442489E-10</v>
      </c>
      <c r="Q58" s="8">
        <f t="shared" si="7"/>
        <v>-98.45050816334731</v>
      </c>
      <c r="R58" s="8">
        <f t="shared" si="8"/>
        <v>-97.32271867402189</v>
      </c>
      <c r="S58" s="8">
        <f t="shared" si="9"/>
        <v>-1.1277894893254228</v>
      </c>
      <c r="T58" s="8">
        <f t="shared" si="10"/>
        <v>19.77870725051419</v>
      </c>
      <c r="V58" s="21">
        <f>T58-riaa_curve!G42</f>
        <v>0.01463589989370817</v>
      </c>
      <c r="W58" s="21">
        <f>T58-riaa_curve!H42</f>
        <v>0.016369200128394823</v>
      </c>
    </row>
    <row r="59" spans="9:23" ht="12.75">
      <c r="I59" s="13">
        <v>10</v>
      </c>
      <c r="J59" s="10">
        <f t="shared" si="0"/>
        <v>62.83185307179586</v>
      </c>
      <c r="K59" s="9">
        <f t="shared" si="1"/>
        <v>-2.584838039984202E-07</v>
      </c>
      <c r="L59" s="9">
        <f t="shared" si="2"/>
        <v>1.2808562543772322E-05</v>
      </c>
      <c r="M59" s="9">
        <f t="shared" si="3"/>
        <v>-2.934746706528508E-06</v>
      </c>
      <c r="N59" s="9">
        <f t="shared" si="4"/>
        <v>1.4325967051526918E-05</v>
      </c>
      <c r="O59" s="9">
        <f t="shared" si="5"/>
        <v>1.641260883146568E-10</v>
      </c>
      <c r="P59" s="10">
        <f t="shared" si="6"/>
        <v>2.138460701929148E-10</v>
      </c>
      <c r="Q59" s="8">
        <f t="shared" si="7"/>
        <v>-97.84822381100588</v>
      </c>
      <c r="R59" s="8">
        <f t="shared" si="8"/>
        <v>-96.69898726277938</v>
      </c>
      <c r="S59" s="8">
        <f t="shared" si="9"/>
        <v>-1.1492365482264972</v>
      </c>
      <c r="T59" s="8">
        <f t="shared" si="10"/>
        <v>19.757260191613117</v>
      </c>
      <c r="V59" s="21">
        <f>T59-riaa_curve!G43</f>
        <v>0.014613069712950733</v>
      </c>
      <c r="W59" s="21">
        <f>T59-riaa_curve!H43</f>
        <v>0.016346347503731096</v>
      </c>
    </row>
    <row r="60" spans="9:23" ht="12.75">
      <c r="I60" s="13">
        <v>10.7177346253629</v>
      </c>
      <c r="J60" s="10">
        <f t="shared" si="0"/>
        <v>67.34151272433007</v>
      </c>
      <c r="K60" s="9">
        <f t="shared" si="1"/>
        <v>-2.969199204463595E-07</v>
      </c>
      <c r="L60" s="9">
        <f t="shared" si="2"/>
        <v>1.372786924243303E-05</v>
      </c>
      <c r="M60" s="9">
        <f t="shared" si="3"/>
        <v>-3.371138714122243E-06</v>
      </c>
      <c r="N60" s="9">
        <f t="shared" si="4"/>
        <v>1.5352022625564177E-05</v>
      </c>
      <c r="O60" s="9">
        <f t="shared" si="5"/>
        <v>1.885425553764967E-10</v>
      </c>
      <c r="P60" s="10">
        <f t="shared" si="6"/>
        <v>2.4704917492568815E-10</v>
      </c>
      <c r="Q60" s="8">
        <f t="shared" si="7"/>
        <v>-97.24590611085131</v>
      </c>
      <c r="R60" s="8">
        <f t="shared" si="8"/>
        <v>-96.07216592192776</v>
      </c>
      <c r="S60" s="8">
        <f t="shared" si="9"/>
        <v>-1.1737401889235457</v>
      </c>
      <c r="T60" s="8">
        <f t="shared" si="10"/>
        <v>19.73275655091607</v>
      </c>
      <c r="V60" s="21">
        <f>T60-riaa_curve!G44</f>
        <v>0.01458712114171945</v>
      </c>
      <c r="W60" s="21">
        <f>T60-riaa_curve!H44</f>
        <v>0.016320373151224032</v>
      </c>
    </row>
    <row r="61" spans="9:23" ht="12.75">
      <c r="I61" s="13">
        <v>11.4869835499703</v>
      </c>
      <c r="J61" s="10">
        <f t="shared" si="0"/>
        <v>72.174846264987</v>
      </c>
      <c r="K61" s="9">
        <f t="shared" si="1"/>
        <v>-3.4107142418258266E-07</v>
      </c>
      <c r="L61" s="9">
        <f t="shared" si="2"/>
        <v>1.4713155874021931E-05</v>
      </c>
      <c r="M61" s="9">
        <f t="shared" si="3"/>
        <v>-3.8724214953790304E-06</v>
      </c>
      <c r="N61" s="9">
        <f t="shared" si="4"/>
        <v>1.645122048138296E-05</v>
      </c>
      <c r="O61" s="9">
        <f t="shared" si="5"/>
        <v>2.1659328548965998E-10</v>
      </c>
      <c r="P61" s="10">
        <f t="shared" si="6"/>
        <v>2.856383035649478E-10</v>
      </c>
      <c r="Q61" s="8">
        <f t="shared" si="7"/>
        <v>-96.64355010868542</v>
      </c>
      <c r="R61" s="8">
        <f t="shared" si="8"/>
        <v>-95.44183554908885</v>
      </c>
      <c r="S61" s="8">
        <f t="shared" si="9"/>
        <v>-1.2017145595965673</v>
      </c>
      <c r="T61" s="8">
        <f t="shared" si="10"/>
        <v>19.704782180243047</v>
      </c>
      <c r="V61" s="21">
        <f>T61-riaa_curve!G45</f>
        <v>0.014557672585489456</v>
      </c>
      <c r="W61" s="21">
        <f>T61-riaa_curve!H45</f>
        <v>0.016290894980084403</v>
      </c>
    </row>
    <row r="62" spans="9:23" ht="12.75">
      <c r="I62" s="13">
        <v>12.3114441334492</v>
      </c>
      <c r="J62" s="10">
        <f t="shared" si="0"/>
        <v>77.35508488945032</v>
      </c>
      <c r="K62" s="9">
        <f t="shared" si="1"/>
        <v>-3.917881838950344E-07</v>
      </c>
      <c r="L62" s="9">
        <f t="shared" si="2"/>
        <v>1.576915760946558E-05</v>
      </c>
      <c r="M62" s="9">
        <f t="shared" si="3"/>
        <v>-4.448244201597116E-06</v>
      </c>
      <c r="N62" s="9">
        <f t="shared" si="4"/>
        <v>1.762869442584366E-05</v>
      </c>
      <c r="O62" s="9">
        <f t="shared" si="5"/>
        <v>2.4881982969320594E-10</v>
      </c>
      <c r="P62" s="10">
        <f t="shared" si="6"/>
        <v>3.3055774363681367E-10</v>
      </c>
      <c r="Q62" s="8">
        <f t="shared" si="7"/>
        <v>-96.04115011508694</v>
      </c>
      <c r="R62" s="8">
        <f t="shared" si="8"/>
        <v>-94.80752664612994</v>
      </c>
      <c r="S62" s="8">
        <f t="shared" si="9"/>
        <v>-1.233623468956992</v>
      </c>
      <c r="T62" s="8">
        <f t="shared" si="10"/>
        <v>19.672873270882622</v>
      </c>
      <c r="V62" s="21">
        <f>T62-riaa_curve!G46</f>
        <v>0.014524308964961818</v>
      </c>
      <c r="W62" s="21">
        <f>T62-riaa_curve!H46</f>
        <v>0.016257497340955496</v>
      </c>
    </row>
    <row r="63" spans="9:23" ht="12.75">
      <c r="I63" s="13">
        <v>13.1950791077289</v>
      </c>
      <c r="J63" s="10">
        <f t="shared" si="0"/>
        <v>82.90712717675454</v>
      </c>
      <c r="K63" s="9">
        <f t="shared" si="1"/>
        <v>-4.5004644234749627E-07</v>
      </c>
      <c r="L63" s="9">
        <f t="shared" si="2"/>
        <v>1.690094937821962E-05</v>
      </c>
      <c r="M63" s="9">
        <f t="shared" si="3"/>
        <v>-5.109690796999642E-06</v>
      </c>
      <c r="N63" s="9">
        <f t="shared" si="4"/>
        <v>1.888991995466864E-05</v>
      </c>
      <c r="O63" s="9">
        <f t="shared" si="5"/>
        <v>2.8584463168541184E-10</v>
      </c>
      <c r="P63" s="10">
        <f t="shared" si="6"/>
        <v>3.8293801593473133E-10</v>
      </c>
      <c r="Q63" s="8">
        <f t="shared" si="7"/>
        <v>-95.43869959655044</v>
      </c>
      <c r="R63" s="8">
        <f t="shared" si="8"/>
        <v>-94.16871517195965</v>
      </c>
      <c r="S63" s="8">
        <f t="shared" si="9"/>
        <v>-1.2699844245907883</v>
      </c>
      <c r="T63" s="8">
        <f t="shared" si="10"/>
        <v>19.636512315248826</v>
      </c>
      <c r="V63" s="21">
        <f>T63-riaa_curve!G47</f>
        <v>0.014486582790222968</v>
      </c>
      <c r="W63" s="21">
        <f>T63-riaa_curve!H47</f>
        <v>0.016219732089108874</v>
      </c>
    </row>
    <row r="64" spans="9:23" ht="12.75">
      <c r="I64" s="13">
        <v>14.1421356237309</v>
      </c>
      <c r="J64" s="10">
        <f t="shared" si="0"/>
        <v>88.857658763167</v>
      </c>
      <c r="K64" s="9">
        <f t="shared" si="1"/>
        <v>-5.169676079968366E-07</v>
      </c>
      <c r="L64" s="9">
        <f t="shared" si="2"/>
        <v>1.8113970230551087E-05</v>
      </c>
      <c r="M64" s="9">
        <f t="shared" si="3"/>
        <v>-5.869493413056973E-06</v>
      </c>
      <c r="N64" s="9">
        <f t="shared" si="4"/>
        <v>2.024073258607298E-05</v>
      </c>
      <c r="O64" s="9">
        <f t="shared" si="5"/>
        <v>3.28383173021009E-10</v>
      </c>
      <c r="P64" s="10">
        <f t="shared" si="6"/>
        <v>4.441382085468358E-10</v>
      </c>
      <c r="Q64" s="8">
        <f t="shared" si="7"/>
        <v>-94.83619105058548</v>
      </c>
      <c r="R64" s="8">
        <f t="shared" si="8"/>
        <v>-93.52481863513412</v>
      </c>
      <c r="S64" s="8">
        <f t="shared" si="9"/>
        <v>-1.311372415451359</v>
      </c>
      <c r="T64" s="8">
        <f t="shared" si="10"/>
        <v>19.595124324388255</v>
      </c>
      <c r="V64" s="21">
        <f>T64-riaa_curve!G48</f>
        <v>0.014444016721913755</v>
      </c>
      <c r="W64" s="21">
        <f>T64-riaa_curve!H48</f>
        <v>0.016177121132990635</v>
      </c>
    </row>
    <row r="65" spans="9:23" ht="12.75">
      <c r="I65" s="13">
        <v>15.157165665104</v>
      </c>
      <c r="J65" s="10">
        <f t="shared" si="0"/>
        <v>95.23528060546835</v>
      </c>
      <c r="K65" s="9">
        <f t="shared" si="1"/>
        <v>-5.938398408927239E-07</v>
      </c>
      <c r="L65" s="9">
        <f t="shared" si="2"/>
        <v>1.9414049442983254E-05</v>
      </c>
      <c r="M65" s="9">
        <f t="shared" si="3"/>
        <v>-6.742277428244543E-06</v>
      </c>
      <c r="N65" s="9">
        <f t="shared" si="4"/>
        <v>2.1687346079346866E-05</v>
      </c>
      <c r="O65" s="9">
        <f t="shared" si="5"/>
        <v>3.772579615312299E-10</v>
      </c>
      <c r="P65" s="10">
        <f t="shared" si="6"/>
        <v>5.157992848847777E-10</v>
      </c>
      <c r="Q65" s="8">
        <f t="shared" si="7"/>
        <v>-94.23361586243968</v>
      </c>
      <c r="R65" s="8">
        <f t="shared" si="8"/>
        <v>-92.87519264312876</v>
      </c>
      <c r="S65" s="8">
        <f t="shared" si="9"/>
        <v>-1.3584232193109216</v>
      </c>
      <c r="T65" s="8">
        <f t="shared" si="10"/>
        <v>19.548073520528693</v>
      </c>
      <c r="V65" s="21">
        <f>T65-riaa_curve!G49</f>
        <v>0.014396108019692377</v>
      </c>
      <c r="W65" s="21">
        <f>T65-riaa_curve!H49</f>
        <v>0.016129160868214143</v>
      </c>
    </row>
    <row r="66" spans="9:23" ht="12.75">
      <c r="I66" s="13">
        <v>16.2450479271247</v>
      </c>
      <c r="J66" s="10">
        <f t="shared" si="0"/>
        <v>102.0706464501381</v>
      </c>
      <c r="K66" s="9">
        <f t="shared" si="1"/>
        <v>-6.821428483651704E-07</v>
      </c>
      <c r="L66" s="9">
        <f t="shared" si="2"/>
        <v>2.080743449077075E-05</v>
      </c>
      <c r="M66" s="9">
        <f t="shared" si="3"/>
        <v>-7.744842990758117E-06</v>
      </c>
      <c r="N66" s="9">
        <f t="shared" si="4"/>
        <v>2.323637019938798E-05</v>
      </c>
      <c r="O66" s="9">
        <f t="shared" si="5"/>
        <v>4.33414648953292E-10</v>
      </c>
      <c r="P66" s="10">
        <f t="shared" si="6"/>
        <v>5.999114929945008E-10</v>
      </c>
      <c r="Q66" s="8">
        <f t="shared" si="7"/>
        <v>-93.63096414077425</v>
      </c>
      <c r="R66" s="8">
        <f t="shared" si="8"/>
        <v>-92.2191281784871</v>
      </c>
      <c r="S66" s="8">
        <f t="shared" si="9"/>
        <v>-1.4118359622871566</v>
      </c>
      <c r="T66" s="8">
        <f t="shared" si="10"/>
        <v>19.494660777552458</v>
      </c>
      <c r="V66" s="21">
        <f>T66-riaa_curve!G50</f>
        <v>0.014342335305492782</v>
      </c>
      <c r="W66" s="21">
        <f>T66-riaa_curve!H50</f>
        <v>0.016075328924195276</v>
      </c>
    </row>
    <row r="67" spans="9:23" ht="12.75">
      <c r="I67" s="13">
        <v>17.4110112659225</v>
      </c>
      <c r="J67" s="10">
        <f t="shared" si="0"/>
        <v>109.3966101691825</v>
      </c>
      <c r="K67" s="9">
        <f t="shared" si="1"/>
        <v>-7.835763677900657E-07</v>
      </c>
      <c r="L67" s="9">
        <f t="shared" si="2"/>
        <v>2.2300821019870775E-05</v>
      </c>
      <c r="M67" s="9">
        <f t="shared" si="3"/>
        <v>-8.896488403194194E-06</v>
      </c>
      <c r="N67" s="9">
        <f t="shared" si="4"/>
        <v>2.4894827587396398E-05</v>
      </c>
      <c r="O67" s="9">
        <f t="shared" si="5"/>
        <v>4.979406100844693E-10</v>
      </c>
      <c r="P67" s="10">
        <f t="shared" si="6"/>
        <v>6.988999465143615E-10</v>
      </c>
      <c r="Q67" s="8">
        <f t="shared" si="7"/>
        <v>-93.02822452924414</v>
      </c>
      <c r="R67" s="8">
        <f t="shared" si="8"/>
        <v>-91.55584992762002</v>
      </c>
      <c r="S67" s="8">
        <f t="shared" si="9"/>
        <v>-1.472374601624125</v>
      </c>
      <c r="T67" s="8">
        <f t="shared" si="10"/>
        <v>19.43412213821549</v>
      </c>
      <c r="V67" s="21">
        <f>T67-riaa_curve!G51</f>
        <v>0.0142821680741676</v>
      </c>
      <c r="W67" s="21">
        <f>T67-riaa_curve!H51</f>
        <v>0.01601509365567466</v>
      </c>
    </row>
    <row r="68" spans="9:23" ht="12.75">
      <c r="I68" s="13">
        <v>18.6606598307361</v>
      </c>
      <c r="J68" s="10">
        <f t="shared" si="0"/>
        <v>117.24838367075738</v>
      </c>
      <c r="K68" s="9">
        <f t="shared" si="1"/>
        <v>-9.000928846949939E-07</v>
      </c>
      <c r="L68" s="9">
        <f t="shared" si="2"/>
        <v>2.390138496002693E-05</v>
      </c>
      <c r="M68" s="9">
        <f t="shared" si="3"/>
        <v>-1.02193815939993E-05</v>
      </c>
      <c r="N68" s="9">
        <f t="shared" si="4"/>
        <v>2.6670169172255726E-05</v>
      </c>
      <c r="O68" s="9">
        <f t="shared" si="5"/>
        <v>5.7208637020848E-10</v>
      </c>
      <c r="P68" s="10">
        <f t="shared" si="6"/>
        <v>8.157336838405114E-10</v>
      </c>
      <c r="Q68" s="8">
        <f t="shared" si="7"/>
        <v>-92.42538399050902</v>
      </c>
      <c r="R68" s="8">
        <f t="shared" si="8"/>
        <v>-90.88451604133894</v>
      </c>
      <c r="S68" s="8">
        <f t="shared" si="9"/>
        <v>-1.540867949170078</v>
      </c>
      <c r="T68" s="8">
        <f t="shared" si="10"/>
        <v>19.365628790669536</v>
      </c>
      <c r="V68" s="21">
        <f>T68-riaa_curve!G52</f>
        <v>0.014215079341127534</v>
      </c>
      <c r="W68" s="21">
        <f>T68-riaa_curve!H52</f>
        <v>0.015947926768426157</v>
      </c>
    </row>
    <row r="69" spans="9:25" ht="12.75">
      <c r="I69" s="28">
        <v>20</v>
      </c>
      <c r="J69" s="27">
        <f t="shared" si="0"/>
        <v>125.66370614359172</v>
      </c>
      <c r="K69" s="26">
        <f t="shared" si="1"/>
        <v>-1.0339352159936807E-06</v>
      </c>
      <c r="L69" s="26">
        <f t="shared" si="2"/>
        <v>2.5616816930314533E-05</v>
      </c>
      <c r="M69" s="26">
        <f t="shared" si="3"/>
        <v>-1.1738986826114033E-05</v>
      </c>
      <c r="N69" s="26">
        <f t="shared" si="4"/>
        <v>2.857028740066703E-05</v>
      </c>
      <c r="O69" s="26">
        <f t="shared" si="5"/>
        <v>6.572903316721211E-10</v>
      </c>
      <c r="P69" s="27">
        <f t="shared" si="6"/>
        <v>9.54065133860392E-10</v>
      </c>
      <c r="Q69" s="29">
        <f t="shared" si="7"/>
        <v>-91.82242755871661</v>
      </c>
      <c r="R69" s="29">
        <f t="shared" si="8"/>
        <v>-90.20421975075206</v>
      </c>
      <c r="S69" s="29">
        <f t="shared" si="9"/>
        <v>-1.618207807964552</v>
      </c>
      <c r="T69" s="24">
        <f t="shared" si="10"/>
        <v>19.288288931875062</v>
      </c>
      <c r="U69" s="24"/>
      <c r="V69" s="21">
        <f>T69-riaa_curve!G53</f>
        <v>0.014140561717983502</v>
      </c>
      <c r="W69" s="21">
        <f>T69-riaa_curve!H53</f>
        <v>0.015873319369667627</v>
      </c>
      <c r="X69" s="24"/>
      <c r="Y69" s="25"/>
    </row>
    <row r="70" spans="9:23" ht="12.75">
      <c r="I70" s="13">
        <v>21.4354692507258</v>
      </c>
      <c r="J70" s="10">
        <f t="shared" si="0"/>
        <v>134.68302544866015</v>
      </c>
      <c r="K70" s="9">
        <f t="shared" si="1"/>
        <v>-1.187679681785438E-06</v>
      </c>
      <c r="L70" s="9">
        <f t="shared" si="2"/>
        <v>2.7455359098813782E-05</v>
      </c>
      <c r="M70" s="9">
        <f t="shared" si="3"/>
        <v>-1.3484554856488973E-05</v>
      </c>
      <c r="N70" s="9">
        <f t="shared" si="4"/>
        <v>3.060352636961681E-05</v>
      </c>
      <c r="O70" s="9">
        <f t="shared" si="5"/>
        <v>7.552073262713427E-10</v>
      </c>
      <c r="P70" s="10">
        <f t="shared" si="6"/>
        <v>1.1184090459334918E-09</v>
      </c>
      <c r="Q70" s="8">
        <f t="shared" si="7"/>
        <v>-91.21933805595867</v>
      </c>
      <c r="R70" s="8">
        <f t="shared" si="8"/>
        <v>-89.51399328916786</v>
      </c>
      <c r="S70" s="8">
        <f t="shared" si="9"/>
        <v>-1.705344766790816</v>
      </c>
      <c r="T70" s="8">
        <f t="shared" si="10"/>
        <v>19.2011519730488</v>
      </c>
      <c r="V70" s="21">
        <f>T70-riaa_curve!G54</f>
        <v>0.014058147029377466</v>
      </c>
      <c r="W70" s="21">
        <f>T70-riaa_curve!H54</f>
        <v>0.015790801555965572</v>
      </c>
    </row>
    <row r="71" spans="9:23" ht="12.75">
      <c r="I71" s="13">
        <v>22.9739670999407</v>
      </c>
      <c r="J71" s="10">
        <f t="shared" si="0"/>
        <v>144.34969252997462</v>
      </c>
      <c r="K71" s="9">
        <f t="shared" si="1"/>
        <v>-1.3642856967303427E-06</v>
      </c>
      <c r="L71" s="9">
        <f t="shared" si="2"/>
        <v>2.9425844669025222E-05</v>
      </c>
      <c r="M71" s="9">
        <f t="shared" si="3"/>
        <v>-1.5489685981516257E-05</v>
      </c>
      <c r="N71" s="9">
        <f t="shared" si="4"/>
        <v>3.277868770335744E-05</v>
      </c>
      <c r="O71" s="9">
        <f t="shared" si="5"/>
        <v>8.677416099479031E-10</v>
      </c>
      <c r="P71" s="10">
        <f t="shared" si="6"/>
        <v>1.3143727393602177E-09</v>
      </c>
      <c r="Q71" s="8">
        <f t="shared" si="7"/>
        <v>-90.61609576758762</v>
      </c>
      <c r="R71" s="8">
        <f t="shared" si="8"/>
        <v>-88.81281456928598</v>
      </c>
      <c r="S71" s="8">
        <f t="shared" si="9"/>
        <v>-1.8032811983016472</v>
      </c>
      <c r="T71" s="8">
        <f t="shared" si="10"/>
        <v>19.103215541537967</v>
      </c>
      <c r="V71" s="21">
        <f>T71-riaa_curve!G55</f>
        <v>0.01396742931500583</v>
      </c>
      <c r="W71" s="21">
        <f>T71-riaa_curve!H55</f>
        <v>0.015699965381969605</v>
      </c>
    </row>
    <row r="72" spans="9:23" ht="12.75">
      <c r="I72" s="13">
        <v>24.6228882668983</v>
      </c>
      <c r="J72" s="10">
        <f t="shared" si="0"/>
        <v>154.71016977890002</v>
      </c>
      <c r="K72" s="9">
        <f t="shared" si="1"/>
        <v>-1.5671527355801252E-06</v>
      </c>
      <c r="L72" s="9">
        <f t="shared" si="2"/>
        <v>3.153774017720649E-05</v>
      </c>
      <c r="M72" s="9">
        <f t="shared" si="3"/>
        <v>-1.779297680638832E-05</v>
      </c>
      <c r="N72" s="9">
        <f t="shared" si="4"/>
        <v>3.510503071773302E-05</v>
      </c>
      <c r="O72" s="9">
        <f t="shared" si="5"/>
        <v>9.970850231816208E-10</v>
      </c>
      <c r="P72" s="10">
        <f t="shared" si="6"/>
        <v>1.5489532053256517E-09</v>
      </c>
      <c r="Q72" s="8">
        <f t="shared" si="7"/>
        <v>-90.01267807060228</v>
      </c>
      <c r="R72" s="8">
        <f t="shared" si="8"/>
        <v>-88.09961702302658</v>
      </c>
      <c r="S72" s="8">
        <f t="shared" si="9"/>
        <v>-1.9130610475756953</v>
      </c>
      <c r="T72" s="8">
        <f t="shared" si="10"/>
        <v>18.99343569226392</v>
      </c>
      <c r="V72" s="21">
        <f>T72-riaa_curve!G56</f>
        <v>0.01386809069436623</v>
      </c>
      <c r="W72" s="21">
        <f>T72-riaa_curve!H56</f>
        <v>0.01560049068695335</v>
      </c>
    </row>
    <row r="73" spans="9:23" ht="12.75">
      <c r="I73" s="13">
        <v>26.3901582154579</v>
      </c>
      <c r="J73" s="10">
        <f t="shared" si="0"/>
        <v>165.81425435350974</v>
      </c>
      <c r="K73" s="9">
        <f t="shared" si="1"/>
        <v>-1.8001857693899993E-06</v>
      </c>
      <c r="L73" s="9">
        <f t="shared" si="2"/>
        <v>3.3801190797032765E-05</v>
      </c>
      <c r="M73" s="9">
        <f t="shared" si="3"/>
        <v>-2.043876318799873E-05</v>
      </c>
      <c r="N73" s="9">
        <f t="shared" si="4"/>
        <v>3.7592265043892116E-05</v>
      </c>
      <c r="O73" s="9">
        <f t="shared" si="5"/>
        <v>1.1457611681017268E-09</v>
      </c>
      <c r="P73" s="10">
        <f t="shared" si="6"/>
        <v>1.830921431785325E-09</v>
      </c>
      <c r="Q73" s="8">
        <f t="shared" si="7"/>
        <v>-89.40905900854885</v>
      </c>
      <c r="R73" s="8">
        <f t="shared" si="8"/>
        <v>-87.37330291675468</v>
      </c>
      <c r="S73" s="8">
        <f t="shared" si="9"/>
        <v>-2.0357560917941697</v>
      </c>
      <c r="T73" s="8">
        <f t="shared" si="10"/>
        <v>18.870740648045444</v>
      </c>
      <c r="V73" s="21">
        <f>T73-riaa_curve!G57</f>
        <v>0.013759929116048397</v>
      </c>
      <c r="W73" s="21">
        <f>T73-riaa_curve!H57</f>
        <v>0.01549217280023285</v>
      </c>
    </row>
    <row r="74" spans="9:23" ht="12.75">
      <c r="I74" s="13">
        <v>28.2842712474619</v>
      </c>
      <c r="J74" s="10">
        <f t="shared" si="0"/>
        <v>177.71531752633462</v>
      </c>
      <c r="K74" s="9">
        <f t="shared" si="1"/>
        <v>-2.0678704319873606E-06</v>
      </c>
      <c r="L74" s="9">
        <f t="shared" si="2"/>
        <v>3.622706886083398E-05</v>
      </c>
      <c r="M74" s="9">
        <f t="shared" si="3"/>
        <v>-2.347797365222806E-05</v>
      </c>
      <c r="N74" s="9">
        <f t="shared" si="4"/>
        <v>4.025053342446919E-05</v>
      </c>
      <c r="O74" s="9">
        <f t="shared" si="5"/>
        <v>1.3166766063710942E-09</v>
      </c>
      <c r="P74" s="10">
        <f t="shared" si="6"/>
        <v>2.1713206877690263E-09</v>
      </c>
      <c r="Q74" s="8">
        <f t="shared" si="7"/>
        <v>-88.80520880554602</v>
      </c>
      <c r="R74" s="8">
        <f t="shared" si="8"/>
        <v>-86.63276029773027</v>
      </c>
      <c r="S74" s="8">
        <f t="shared" si="9"/>
        <v>-2.1724485078157443</v>
      </c>
      <c r="T74" s="8">
        <f t="shared" si="10"/>
        <v>18.73404823202387</v>
      </c>
      <c r="V74" s="21">
        <f>T74-riaa_curve!G58</f>
        <v>0.013642886499180662</v>
      </c>
      <c r="W74" s="21">
        <f>T74-riaa_curve!H58</f>
        <v>0.015374950632168094</v>
      </c>
    </row>
    <row r="75" spans="9:23" ht="12.75">
      <c r="I75" s="13">
        <v>30.3143313302079</v>
      </c>
      <c r="J75" s="10">
        <f t="shared" si="0"/>
        <v>190.47056121093607</v>
      </c>
      <c r="K75" s="9">
        <f t="shared" si="1"/>
        <v>-2.37535936357088E-06</v>
      </c>
      <c r="L75" s="9">
        <f t="shared" si="2"/>
        <v>3.882702582016537E-05</v>
      </c>
      <c r="M75" s="9">
        <f t="shared" si="3"/>
        <v>-2.6969109712977996E-05</v>
      </c>
      <c r="N75" s="9">
        <f t="shared" si="4"/>
        <v>4.309038182767717E-05</v>
      </c>
      <c r="O75" s="9">
        <f t="shared" si="5"/>
        <v>1.513180266145892E-09</v>
      </c>
      <c r="P75" s="10">
        <f t="shared" si="6"/>
        <v>2.584113884765655E-09</v>
      </c>
      <c r="Q75" s="8">
        <f t="shared" si="7"/>
        <v>-88.20109331111668</v>
      </c>
      <c r="R75" s="8">
        <f t="shared" si="8"/>
        <v>-85.8768835041557</v>
      </c>
      <c r="S75" s="8">
        <f t="shared" si="9"/>
        <v>-2.3242098069609796</v>
      </c>
      <c r="T75" s="8">
        <f t="shared" si="10"/>
        <v>18.582286932878635</v>
      </c>
      <c r="V75" s="21">
        <f>T75-riaa_curve!G59</f>
        <v>0.013517075256991973</v>
      </c>
      <c r="W75" s="21">
        <f>T75-riaa_curve!H59</f>
        <v>0.015248933139819343</v>
      </c>
    </row>
    <row r="76" spans="9:23" ht="12.75">
      <c r="I76" s="13">
        <v>32.4900958542494</v>
      </c>
      <c r="J76" s="10">
        <f t="shared" si="0"/>
        <v>204.1412929002762</v>
      </c>
      <c r="K76" s="9">
        <f t="shared" si="1"/>
        <v>-2.7285713934606816E-06</v>
      </c>
      <c r="L76" s="9">
        <f t="shared" si="2"/>
        <v>4.161354788257544E-05</v>
      </c>
      <c r="M76" s="9">
        <f t="shared" si="3"/>
        <v>-3.097937196303247E-05</v>
      </c>
      <c r="N76" s="9">
        <f t="shared" si="4"/>
        <v>4.612271332308885E-05</v>
      </c>
      <c r="O76" s="9">
        <f t="shared" si="5"/>
        <v>1.7391324692246108E-09</v>
      </c>
      <c r="P76" s="10">
        <f t="shared" si="6"/>
        <v>3.0870261715077604E-09</v>
      </c>
      <c r="Q76" s="8">
        <f t="shared" si="7"/>
        <v>-87.59667336650439</v>
      </c>
      <c r="R76" s="8">
        <f t="shared" si="8"/>
        <v>-85.10459688595901</v>
      </c>
      <c r="S76" s="8">
        <f t="shared" si="9"/>
        <v>-2.4920764805453786</v>
      </c>
      <c r="T76" s="8">
        <f t="shared" si="10"/>
        <v>18.414420259294236</v>
      </c>
      <c r="V76" s="21">
        <f>T76-riaa_curve!G60</f>
        <v>0.01338280075608722</v>
      </c>
      <c r="W76" s="21">
        <f>T76-riaa_curve!H60</f>
        <v>0.01511442171970856</v>
      </c>
    </row>
    <row r="77" spans="9:23" ht="12.75">
      <c r="I77" s="13">
        <v>34.8220225318449</v>
      </c>
      <c r="J77" s="10">
        <f t="shared" si="0"/>
        <v>218.79322033836436</v>
      </c>
      <c r="K77" s="9">
        <f t="shared" si="1"/>
        <v>-3.134305471160245E-06</v>
      </c>
      <c r="L77" s="9">
        <f t="shared" si="2"/>
        <v>4.460001557612987E-05</v>
      </c>
      <c r="M77" s="9">
        <f t="shared" si="3"/>
        <v>-3.558595361277658E-05</v>
      </c>
      <c r="N77" s="9">
        <f t="shared" si="4"/>
        <v>4.935872129604101E-05</v>
      </c>
      <c r="O77" s="9">
        <f t="shared" si="5"/>
        <v>1.998985260177572E-09</v>
      </c>
      <c r="P77" s="10">
        <f t="shared" si="6"/>
        <v>3.702643462510939E-09</v>
      </c>
      <c r="Q77" s="8">
        <f t="shared" si="7"/>
        <v>-86.99190408206618</v>
      </c>
      <c r="R77" s="8">
        <f t="shared" si="8"/>
        <v>-84.31488105319971</v>
      </c>
      <c r="S77" s="8">
        <f t="shared" si="9"/>
        <v>-2.677023028866472</v>
      </c>
      <c r="T77" s="8">
        <f t="shared" si="10"/>
        <v>18.229473710973142</v>
      </c>
      <c r="V77" s="21">
        <f>T77-riaa_curve!G61</f>
        <v>0.013240577010964927</v>
      </c>
      <c r="W77" s="21">
        <f>T77-riaa_curve!H61</f>
        <v>0.014971925825904009</v>
      </c>
    </row>
    <row r="78" spans="9:23" ht="12.75">
      <c r="I78" s="13">
        <v>37.3213196614723</v>
      </c>
      <c r="J78" s="10">
        <f t="shared" si="0"/>
        <v>234.49676734151538</v>
      </c>
      <c r="K78" s="9">
        <f t="shared" si="1"/>
        <v>-3.600371538779995E-06</v>
      </c>
      <c r="L78" s="9">
        <f t="shared" si="2"/>
        <v>4.780076750846511E-05</v>
      </c>
      <c r="M78" s="9">
        <f t="shared" si="3"/>
        <v>-4.0877526375997425E-05</v>
      </c>
      <c r="N78" s="9">
        <f t="shared" si="4"/>
        <v>5.280979650716546E-05</v>
      </c>
      <c r="O78" s="9">
        <f t="shared" si="5"/>
        <v>2.297876049615591E-09</v>
      </c>
      <c r="P78" s="10">
        <f t="shared" si="6"/>
        <v>4.45984676974859E-09</v>
      </c>
      <c r="Q78" s="8">
        <f t="shared" si="7"/>
        <v>-86.38673401417884</v>
      </c>
      <c r="R78" s="8">
        <f t="shared" si="8"/>
        <v>-83.50680062408001</v>
      </c>
      <c r="S78" s="8">
        <f t="shared" si="9"/>
        <v>-2.8799333900988273</v>
      </c>
      <c r="T78" s="8">
        <f t="shared" si="10"/>
        <v>18.026563349740787</v>
      </c>
      <c r="V78" s="21">
        <f>T78-riaa_curve!G62</f>
        <v>0.0130911329502581</v>
      </c>
      <c r="W78" s="21">
        <f>T78-riaa_curve!H62</f>
        <v>0.01482216914847001</v>
      </c>
    </row>
    <row r="79" spans="9:23" ht="12.75">
      <c r="I79" s="13">
        <v>40</v>
      </c>
      <c r="J79" s="10">
        <f t="shared" si="0"/>
        <v>251.32741228718345</v>
      </c>
      <c r="K79" s="9">
        <f t="shared" si="1"/>
        <v>-4.135740863974723E-06</v>
      </c>
      <c r="L79" s="9">
        <f t="shared" si="2"/>
        <v>5.123116860278821E-05</v>
      </c>
      <c r="M79" s="9">
        <f t="shared" si="3"/>
        <v>-4.695594730445613E-05</v>
      </c>
      <c r="N79" s="9">
        <f t="shared" si="4"/>
        <v>5.648740118223961E-05</v>
      </c>
      <c r="O79" s="9">
        <f t="shared" si="5"/>
        <v>2.6417369889012627E-09</v>
      </c>
      <c r="P79" s="10">
        <f t="shared" si="6"/>
        <v>5.395687479582146E-09</v>
      </c>
      <c r="Q79" s="8">
        <f t="shared" si="7"/>
        <v>-85.78110422889074</v>
      </c>
      <c r="R79" s="8">
        <f t="shared" si="8"/>
        <v>-82.67953212785072</v>
      </c>
      <c r="S79" s="8">
        <f t="shared" si="9"/>
        <v>-3.10157210104002</v>
      </c>
      <c r="T79" s="8">
        <f t="shared" si="10"/>
        <v>17.804924638799594</v>
      </c>
      <c r="V79" s="21">
        <f>T79-riaa_curve!G63</f>
        <v>0.012935407001094745</v>
      </c>
      <c r="W79" s="21">
        <f>T79-riaa_curve!H63</f>
        <v>0.014666084097012089</v>
      </c>
    </row>
    <row r="80" spans="9:23" ht="12.75">
      <c r="I80" s="13">
        <v>42.8709385014517</v>
      </c>
      <c r="J80" s="10">
        <f t="shared" si="0"/>
        <v>269.3660508973209</v>
      </c>
      <c r="K80" s="9">
        <f t="shared" si="1"/>
        <v>-4.750718727141774E-06</v>
      </c>
      <c r="L80" s="9">
        <f t="shared" si="2"/>
        <v>5.4907683109209465E-05</v>
      </c>
      <c r="M80" s="9">
        <f t="shared" si="3"/>
        <v>-5.393821942595614E-05</v>
      </c>
      <c r="N80" s="9">
        <f t="shared" si="4"/>
        <v>6.040290168714136E-05</v>
      </c>
      <c r="O80" s="9">
        <f t="shared" si="5"/>
        <v>3.037422992845782E-09</v>
      </c>
      <c r="P80" s="10">
        <f t="shared" si="6"/>
        <v>6.557842047069057E-09</v>
      </c>
      <c r="Q80" s="8">
        <f t="shared" si="7"/>
        <v>-85.17494723831848</v>
      </c>
      <c r="R80" s="8">
        <f t="shared" si="8"/>
        <v>-81.83239048007067</v>
      </c>
      <c r="S80" s="8">
        <f t="shared" si="9"/>
        <v>-3.3425567582478095</v>
      </c>
      <c r="T80" s="8">
        <f t="shared" si="10"/>
        <v>17.563939981591805</v>
      </c>
      <c r="V80" s="21">
        <f>T80-riaa_curve!G64</f>
        <v>0.012774528556921183</v>
      </c>
      <c r="W80" s="21">
        <f>T80-riaa_curve!H64</f>
        <v>0.014504793152664064</v>
      </c>
    </row>
    <row r="81" spans="9:23" ht="12.75">
      <c r="I81" s="13">
        <v>45.9479341998814</v>
      </c>
      <c r="J81" s="10">
        <f aca="true" t="shared" si="11" ref="J81:J112">(2*PI()*I81)</f>
        <v>288.69938505994924</v>
      </c>
      <c r="K81" s="9">
        <f aca="true" t="shared" si="12" ref="K81:K112">-J81*J81*$F$4*($F$6*$F$12+$F$5*$F$10)</f>
        <v>-5.457142786921371E-06</v>
      </c>
      <c r="L81" s="9">
        <f aca="true" t="shared" si="13" ref="L81:L112">J81*$F$4*(1-J81*J81*$F$5*$F$6*$F$10*$F$12)</f>
        <v>5.8847952705900336E-05</v>
      </c>
      <c r="M81" s="9">
        <f aca="true" t="shared" si="14" ref="M81:M112">-J81*J81*(($F$5*$F$6*($F$10+$F$11+$F$12))+$F$4*($F$5*$F$10+$F$6*$F$11+$F$6*$F$12+$F$5*$F$9+$F$6*$F$9))</f>
        <v>-6.195874392606503E-05</v>
      </c>
      <c r="N81" s="9">
        <f aca="true" t="shared" si="15" ref="N81:N112">J81*($F$4-$F$4*J81*J81*$F$5*$F$6*($F$10*$F$12+$F$10*$F$11+$F$9*$F$10+$F$9*$F$11+$F$9*$F$12)+$F$5+$F$6)</f>
        <v>6.456734933144587E-05</v>
      </c>
      <c r="O81" s="9">
        <f aca="true" t="shared" si="16" ref="O81:O112">K81*K81+L81*L81</f>
        <v>3.492861945072731E-09</v>
      </c>
      <c r="P81" s="10">
        <f aca="true" t="shared" si="17" ref="P81:P112">M81*M81+N81*N81</f>
        <v>8.007828548584663E-09</v>
      </c>
      <c r="Q81" s="8">
        <f aca="true" t="shared" si="18" ref="Q81:Q112">10*LOG10(O81)</f>
        <v>-84.56818579457682</v>
      </c>
      <c r="R81" s="8">
        <f aca="true" t="shared" si="19" ref="R81:R112">10*LOG10(P81)</f>
        <v>-80.96485233880473</v>
      </c>
      <c r="S81" s="8">
        <f aca="true" t="shared" si="20" ref="S81:S112">Q81-R81</f>
        <v>-3.6033334557720877</v>
      </c>
      <c r="T81" s="8">
        <f aca="true" t="shared" si="21" ref="T81:T112">S81-$S$45</f>
        <v>17.303163284067526</v>
      </c>
      <c r="V81" s="21">
        <f>T81-riaa_curve!G65</f>
        <v>0.0126097860733978</v>
      </c>
      <c r="W81" s="21">
        <f>T81-riaa_curve!H65</f>
        <v>0.014339576830916911</v>
      </c>
    </row>
    <row r="82" spans="9:23" ht="12.75">
      <c r="I82" s="13">
        <v>49.2457765337966</v>
      </c>
      <c r="J82" s="10">
        <f t="shared" si="11"/>
        <v>309.42033955780005</v>
      </c>
      <c r="K82" s="9">
        <f t="shared" si="12"/>
        <v>-6.268610942320501E-06</v>
      </c>
      <c r="L82" s="9">
        <f t="shared" si="13"/>
        <v>6.307088002061664E-05</v>
      </c>
      <c r="M82" s="9">
        <f t="shared" si="14"/>
        <v>-7.117190722555328E-05</v>
      </c>
      <c r="N82" s="9">
        <f t="shared" si="15"/>
        <v>6.899119636383282E-05</v>
      </c>
      <c r="O82" s="9">
        <f t="shared" si="16"/>
        <v>4.0172313897212E-09</v>
      </c>
      <c r="P82" s="10">
        <f t="shared" si="17"/>
        <v>9.825225553835701E-09</v>
      </c>
      <c r="Q82" s="8">
        <f t="shared" si="18"/>
        <v>-83.9607315248916</v>
      </c>
      <c r="R82" s="8">
        <f t="shared" si="19"/>
        <v>-80.07657470910618</v>
      </c>
      <c r="S82" s="8">
        <f t="shared" si="20"/>
        <v>-3.884156815785417</v>
      </c>
      <c r="T82" s="8">
        <f t="shared" si="21"/>
        <v>17.022339924054197</v>
      </c>
      <c r="V82" s="21">
        <f>T82-riaa_curve!G66</f>
        <v>0.01244258294876488</v>
      </c>
      <c r="W82" s="21">
        <f>T82-riaa_curve!H66</f>
        <v>0.014171829409161063</v>
      </c>
    </row>
    <row r="83" spans="9:23" ht="12.75">
      <c r="I83" s="13">
        <v>52.7803164309157</v>
      </c>
      <c r="J83" s="10">
        <f t="shared" si="11"/>
        <v>331.6285087070188</v>
      </c>
      <c r="K83" s="9">
        <f t="shared" si="12"/>
        <v>-7.200743077559968E-06</v>
      </c>
      <c r="L83" s="9">
        <f t="shared" si="13"/>
        <v>6.759671791881251E-05</v>
      </c>
      <c r="M83" s="9">
        <f t="shared" si="14"/>
        <v>-8.175505275199458E-05</v>
      </c>
      <c r="N83" s="9">
        <f t="shared" si="15"/>
        <v>7.368393116422158E-05</v>
      </c>
      <c r="O83" s="9">
        <f t="shared" si="16"/>
        <v>4.621166974264537E-09</v>
      </c>
      <c r="P83" s="10">
        <f t="shared" si="17"/>
        <v>1.211321036229516E-08</v>
      </c>
      <c r="Q83" s="8">
        <f t="shared" si="18"/>
        <v>-83.3524833905723</v>
      </c>
      <c r="R83" s="8">
        <f t="shared" si="19"/>
        <v>-79.1674074060134</v>
      </c>
      <c r="S83" s="8">
        <f t="shared" si="20"/>
        <v>-4.185075984558907</v>
      </c>
      <c r="T83" s="8">
        <f t="shared" si="21"/>
        <v>16.721420755280707</v>
      </c>
      <c r="V83" s="21">
        <f>T83-riaa_curve!G67</f>
        <v>0.01227438377260981</v>
      </c>
      <c r="W83" s="21">
        <f>T83-riaa_curve!H67</f>
        <v>0.014003004999878499</v>
      </c>
    </row>
    <row r="84" spans="9:23" ht="12.75">
      <c r="I84" s="13">
        <v>56.5685424949237</v>
      </c>
      <c r="J84" s="10">
        <f t="shared" si="11"/>
        <v>355.4306350526686</v>
      </c>
      <c r="K84" s="9">
        <f t="shared" si="12"/>
        <v>-8.271481727949414E-06</v>
      </c>
      <c r="L84" s="9">
        <f t="shared" si="13"/>
        <v>7.244716491952126E-05</v>
      </c>
      <c r="M84" s="9">
        <f t="shared" si="14"/>
        <v>-9.391189460891191E-05</v>
      </c>
      <c r="N84" s="9">
        <f t="shared" si="15"/>
        <v>7.865361286752288E-05</v>
      </c>
      <c r="O84" s="9">
        <f t="shared" si="16"/>
        <v>5.317009114852112E-09</v>
      </c>
      <c r="P84" s="10">
        <f t="shared" si="17"/>
        <v>1.500583476614954E-08</v>
      </c>
      <c r="Q84" s="8">
        <f t="shared" si="18"/>
        <v>-82.74332595182045</v>
      </c>
      <c r="R84" s="8">
        <f t="shared" si="19"/>
        <v>-78.23739840009308</v>
      </c>
      <c r="S84" s="8">
        <f t="shared" si="20"/>
        <v>-4.505927551727368</v>
      </c>
      <c r="T84" s="8">
        <f t="shared" si="21"/>
        <v>16.400569188112247</v>
      </c>
      <c r="V84" s="21">
        <f>T84-riaa_curve!G68</f>
        <v>0.012106654732015443</v>
      </c>
      <c r="W84" s="21">
        <f>T84-riaa_curve!H68</f>
        <v>0.013834557755131982</v>
      </c>
    </row>
    <row r="85" spans="9:23" ht="12.75">
      <c r="I85" s="13">
        <v>60.6286626604159</v>
      </c>
      <c r="J85" s="10">
        <f t="shared" si="11"/>
        <v>380.94112242187276</v>
      </c>
      <c r="K85" s="9">
        <f t="shared" si="12"/>
        <v>-9.501437454283553E-06</v>
      </c>
      <c r="L85" s="9">
        <f t="shared" si="13"/>
        <v>7.764546711392273E-05</v>
      </c>
      <c r="M85" s="9">
        <f t="shared" si="14"/>
        <v>-0.00010787643885191235</v>
      </c>
      <c r="N85" s="9">
        <f t="shared" si="15"/>
        <v>8.390628100722313E-05</v>
      </c>
      <c r="O85" s="9">
        <f t="shared" si="16"/>
        <v>6.119095877036918E-09</v>
      </c>
      <c r="P85" s="10">
        <f t="shared" si="17"/>
        <v>1.8677590051833478E-08</v>
      </c>
      <c r="Q85" s="8">
        <f t="shared" si="18"/>
        <v>-82.13312742008145</v>
      </c>
      <c r="R85" s="8">
        <f t="shared" si="19"/>
        <v>-77.28679161013315</v>
      </c>
      <c r="S85" s="8">
        <f t="shared" si="20"/>
        <v>-4.8463358099483</v>
      </c>
      <c r="T85" s="8">
        <f t="shared" si="21"/>
        <v>16.060160929891314</v>
      </c>
      <c r="V85" s="21">
        <f>T85-riaa_curve!G69</f>
        <v>0.01194080271066511</v>
      </c>
      <c r="W85" s="21">
        <f>T85-riaa_curve!H69</f>
        <v>0.013667880733997606</v>
      </c>
    </row>
    <row r="86" spans="9:23" ht="12.75">
      <c r="I86" s="13">
        <v>64.9801917084988</v>
      </c>
      <c r="J86" s="10">
        <f t="shared" si="11"/>
        <v>408.2825858005524</v>
      </c>
      <c r="K86" s="9">
        <f t="shared" si="12"/>
        <v>-1.0914285573842727E-05</v>
      </c>
      <c r="L86" s="9">
        <f t="shared" si="13"/>
        <v>8.32165269734223E-05</v>
      </c>
      <c r="M86" s="9">
        <f t="shared" si="14"/>
        <v>-0.00012391748785212987</v>
      </c>
      <c r="N86" s="9">
        <f t="shared" si="15"/>
        <v>8.944521004068085E-05</v>
      </c>
      <c r="O86" s="9">
        <f t="shared" si="16"/>
        <v>7.044111991105711E-09</v>
      </c>
      <c r="P86" s="10">
        <f t="shared" si="17"/>
        <v>2.3355989394804268E-08</v>
      </c>
      <c r="Q86" s="8">
        <f t="shared" si="18"/>
        <v>-81.52173748001098</v>
      </c>
      <c r="R86" s="8">
        <f t="shared" si="19"/>
        <v>-76.31601730619715</v>
      </c>
      <c r="S86" s="8">
        <f t="shared" si="20"/>
        <v>-5.20572017381383</v>
      </c>
      <c r="T86" s="8">
        <f t="shared" si="21"/>
        <v>15.700776566025784</v>
      </c>
      <c r="V86" s="21">
        <f>T86-riaa_curve!G70</f>
        <v>0.011778117761272355</v>
      </c>
      <c r="W86" s="21">
        <f>T86-riaa_curve!H70</f>
        <v>0.013504248108906935</v>
      </c>
    </row>
    <row r="87" spans="9:23" ht="12.75">
      <c r="I87" s="13">
        <v>69.6440450636898</v>
      </c>
      <c r="J87" s="10">
        <f t="shared" si="11"/>
        <v>437.5864406767287</v>
      </c>
      <c r="K87" s="9">
        <f t="shared" si="12"/>
        <v>-1.253722188464098E-05</v>
      </c>
      <c r="L87" s="9">
        <f t="shared" si="13"/>
        <v>8.91870194433673E-05</v>
      </c>
      <c r="M87" s="9">
        <f t="shared" si="14"/>
        <v>-0.00014234381445110632</v>
      </c>
      <c r="N87" s="9">
        <f t="shared" si="15"/>
        <v>9.526997156206891E-05</v>
      </c>
      <c r="O87" s="9">
        <f t="shared" si="16"/>
        <v>8.111506369776296E-09</v>
      </c>
      <c r="P87" s="10">
        <f t="shared" si="17"/>
        <v>2.9338128993928404E-08</v>
      </c>
      <c r="Q87" s="8">
        <f t="shared" si="18"/>
        <v>-80.90898486438408</v>
      </c>
      <c r="R87" s="8">
        <f t="shared" si="19"/>
        <v>-75.3256758625014</v>
      </c>
      <c r="S87" s="8">
        <f t="shared" si="20"/>
        <v>-5.583309001882682</v>
      </c>
      <c r="T87" s="8">
        <f t="shared" si="21"/>
        <v>15.323187737956932</v>
      </c>
      <c r="V87" s="21">
        <f>T87-riaa_curve!G71</f>
        <v>0.011619723142958449</v>
      </c>
      <c r="W87" s="21">
        <f>T87-riaa_curve!H71</f>
        <v>0.013344764897329497</v>
      </c>
    </row>
    <row r="88" spans="9:23" ht="12.75">
      <c r="I88" s="13">
        <v>74.6426393229445</v>
      </c>
      <c r="J88" s="10">
        <f t="shared" si="11"/>
        <v>468.99353468303013</v>
      </c>
      <c r="K88" s="9">
        <f t="shared" si="12"/>
        <v>-1.4401486155119943E-05</v>
      </c>
      <c r="L88" s="9">
        <f t="shared" si="13"/>
        <v>9.55855157242191E-05</v>
      </c>
      <c r="M88" s="9">
        <f t="shared" si="14"/>
        <v>-0.00016351010550398926</v>
      </c>
      <c r="N88" s="9">
        <f t="shared" si="15"/>
        <v>0.00010137525831556167</v>
      </c>
      <c r="O88" s="9">
        <f t="shared" si="16"/>
        <v>9.343993619741048E-09</v>
      </c>
      <c r="P88" s="10">
        <f t="shared" si="17"/>
        <v>3.701249760047256E-08</v>
      </c>
      <c r="Q88" s="8">
        <f t="shared" si="18"/>
        <v>-80.29467466776218</v>
      </c>
      <c r="R88" s="8">
        <f t="shared" si="19"/>
        <v>-74.3165160775804</v>
      </c>
      <c r="S88" s="8">
        <f t="shared" si="20"/>
        <v>-5.978158590181778</v>
      </c>
      <c r="T88" s="8">
        <f t="shared" si="21"/>
        <v>14.928338149657836</v>
      </c>
      <c r="V88" s="21">
        <f>T88-riaa_curve!G72</f>
        <v>0.011466536089027812</v>
      </c>
      <c r="W88" s="21">
        <f>T88-riaa_curve!H72</f>
        <v>0.013190327378445943</v>
      </c>
    </row>
    <row r="89" spans="9:23" ht="12.75">
      <c r="I89" s="13">
        <v>79.9999999999999</v>
      </c>
      <c r="J89" s="10">
        <f t="shared" si="11"/>
        <v>502.6548245743663</v>
      </c>
      <c r="K89" s="9">
        <f t="shared" si="12"/>
        <v>-1.654296345589885E-05</v>
      </c>
      <c r="L89" s="9">
        <f t="shared" si="13"/>
        <v>0.00010244261514284942</v>
      </c>
      <c r="M89" s="9">
        <f t="shared" si="14"/>
        <v>-0.00018782378921782406</v>
      </c>
      <c r="N89" s="9">
        <f t="shared" si="15"/>
        <v>0.00010774941341172353</v>
      </c>
      <c r="O89" s="9">
        <f t="shared" si="16"/>
        <v>1.0768159037209167E-08</v>
      </c>
      <c r="P89" s="10">
        <f t="shared" si="17"/>
        <v>4.688771188671211E-08</v>
      </c>
      <c r="Q89" s="8">
        <f t="shared" si="18"/>
        <v>-79.67858538886043</v>
      </c>
      <c r="R89" s="8">
        <f t="shared" si="19"/>
        <v>-73.28940960249443</v>
      </c>
      <c r="S89" s="8">
        <f t="shared" si="20"/>
        <v>-6.389175786365996</v>
      </c>
      <c r="T89" s="8">
        <f t="shared" si="21"/>
        <v>14.517320953473618</v>
      </c>
      <c r="V89" s="21">
        <f>T89-riaa_curve!G73</f>
        <v>0.011319241108779465</v>
      </c>
      <c r="W89" s="21">
        <f>T89-riaa_curve!H73</f>
        <v>0.013041595991605703</v>
      </c>
    </row>
    <row r="90" spans="9:23" ht="12.75">
      <c r="I90" s="13">
        <v>85.7418770029033</v>
      </c>
      <c r="J90" s="10">
        <f t="shared" si="11"/>
        <v>538.7321017946413</v>
      </c>
      <c r="K90" s="9">
        <f t="shared" si="12"/>
        <v>-1.900287490856705E-05</v>
      </c>
      <c r="L90" s="9">
        <f t="shared" si="13"/>
        <v>0.00010979108551107297</v>
      </c>
      <c r="M90" s="9">
        <f t="shared" si="14"/>
        <v>-0.00021575287770382408</v>
      </c>
      <c r="N90" s="9">
        <f t="shared" si="15"/>
        <v>0.00011437259495754334</v>
      </c>
      <c r="O90" s="9">
        <f t="shared" si="16"/>
        <v>1.2415191712490386E-08</v>
      </c>
      <c r="P90" s="10">
        <f t="shared" si="17"/>
        <v>5.963039471480355E-08</v>
      </c>
      <c r="Q90" s="8">
        <f t="shared" si="18"/>
        <v>-79.06046569783695</v>
      </c>
      <c r="R90" s="8">
        <f t="shared" si="19"/>
        <v>-72.24532315895016</v>
      </c>
      <c r="S90" s="8">
        <f t="shared" si="20"/>
        <v>-6.815142538886789</v>
      </c>
      <c r="T90" s="8">
        <f t="shared" si="21"/>
        <v>14.091354200952825</v>
      </c>
      <c r="V90" s="21">
        <f>T90-riaa_curve!G74</f>
        <v>0.011178276171690982</v>
      </c>
      <c r="W90" s="21">
        <f>T90-riaa_curve!H74</f>
        <v>0.012898981057215764</v>
      </c>
    </row>
    <row r="91" spans="9:23" ht="12.75">
      <c r="I91" s="13">
        <v>91.8958683997627</v>
      </c>
      <c r="J91" s="10">
        <f t="shared" si="11"/>
        <v>577.3987701198979</v>
      </c>
      <c r="K91" s="9">
        <f t="shared" si="12"/>
        <v>-2.1828571147685443E-05</v>
      </c>
      <c r="L91" s="9">
        <f t="shared" si="13"/>
        <v>0.00011766601235459969</v>
      </c>
      <c r="M91" s="9">
        <f t="shared" si="14"/>
        <v>-0.00024783497570425963</v>
      </c>
      <c r="N91" s="9">
        <f t="shared" si="15"/>
        <v>0.00012121449006073961</v>
      </c>
      <c r="O91" s="9">
        <f t="shared" si="16"/>
        <v>1.4321776981782374E-08</v>
      </c>
      <c r="P91" s="10">
        <f t="shared" si="17"/>
        <v>7.611512778301609E-08</v>
      </c>
      <c r="Q91" s="8">
        <f t="shared" si="18"/>
        <v>-78.44003093375653</v>
      </c>
      <c r="R91" s="8">
        <f t="shared" si="19"/>
        <v>-71.18529019185232</v>
      </c>
      <c r="S91" s="8">
        <f t="shared" si="20"/>
        <v>-7.2547407419042145</v>
      </c>
      <c r="T91" s="8">
        <f t="shared" si="21"/>
        <v>13.6517559979354</v>
      </c>
      <c r="V91" s="21">
        <f>T91-riaa_curve!G75</f>
        <v>0.011043830809056132</v>
      </c>
      <c r="W91" s="21">
        <f>T91-riaa_curve!H75</f>
        <v>0.012762640346169363</v>
      </c>
    </row>
    <row r="92" spans="9:23" ht="12.75">
      <c r="I92" s="13">
        <v>98.4915530675932</v>
      </c>
      <c r="J92" s="10">
        <f t="shared" si="11"/>
        <v>618.8406791156001</v>
      </c>
      <c r="K92" s="9">
        <f t="shared" si="12"/>
        <v>-2.5074443769282003E-05</v>
      </c>
      <c r="L92" s="9">
        <f t="shared" si="13"/>
        <v>0.0001261049573708626</v>
      </c>
      <c r="M92" s="9">
        <f t="shared" si="14"/>
        <v>-0.0002846876289022131</v>
      </c>
      <c r="N92" s="9">
        <f t="shared" si="15"/>
        <v>0.00012823147215459984</v>
      </c>
      <c r="O92" s="9">
        <f t="shared" si="16"/>
        <v>1.6531188003845964E-08</v>
      </c>
      <c r="P92" s="10">
        <f t="shared" si="17"/>
        <v>9.749035650090014E-08</v>
      </c>
      <c r="Q92" s="8">
        <f t="shared" si="18"/>
        <v>-77.81695934996287</v>
      </c>
      <c r="R92" s="8">
        <f t="shared" si="19"/>
        <v>-70.11038341486874</v>
      </c>
      <c r="S92" s="8">
        <f t="shared" si="20"/>
        <v>-7.706575935094136</v>
      </c>
      <c r="T92" s="8">
        <f t="shared" si="21"/>
        <v>13.199920804745478</v>
      </c>
      <c r="V92" s="21">
        <f>T92-riaa_curve!G76</f>
        <v>0.010915854167349082</v>
      </c>
      <c r="W92" s="21">
        <f>T92-riaa_curve!H76</f>
        <v>0.012632486521880537</v>
      </c>
    </row>
    <row r="93" spans="9:23" ht="12.75">
      <c r="I93" s="13">
        <v>105.560632861831</v>
      </c>
      <c r="J93" s="10">
        <f t="shared" si="11"/>
        <v>663.2570174140351</v>
      </c>
      <c r="K93" s="9">
        <f t="shared" si="12"/>
        <v>-2.8802972310239653E-05</v>
      </c>
      <c r="L93" s="9">
        <f t="shared" si="13"/>
        <v>0.0001351481264356015</v>
      </c>
      <c r="M93" s="9">
        <f t="shared" si="14"/>
        <v>-0.00032702021100797587</v>
      </c>
      <c r="N93" s="9">
        <f t="shared" si="15"/>
        <v>0.0001353630709399428</v>
      </c>
      <c r="O93" s="9">
        <f t="shared" si="16"/>
        <v>1.909462729295776E-08</v>
      </c>
      <c r="P93" s="10">
        <f t="shared" si="17"/>
        <v>1.2526537938199304E-07</v>
      </c>
      <c r="Q93" s="8">
        <f t="shared" si="18"/>
        <v>-77.19088814179457</v>
      </c>
      <c r="R93" s="8">
        <f t="shared" si="19"/>
        <v>-69.0216894194214</v>
      </c>
      <c r="S93" s="8">
        <f t="shared" si="20"/>
        <v>-8.169198722373167</v>
      </c>
      <c r="T93" s="8">
        <f t="shared" si="21"/>
        <v>12.737298017466447</v>
      </c>
      <c r="V93" s="21">
        <f>T93-riaa_curve!G77</f>
        <v>0.010794070444038795</v>
      </c>
      <c r="W93" s="21">
        <f>T93-riaa_curve!H77</f>
        <v>0.012508201873863811</v>
      </c>
    </row>
    <row r="94" spans="9:23" ht="12.75">
      <c r="I94" s="13">
        <v>113.137084989847</v>
      </c>
      <c r="J94" s="10">
        <f t="shared" si="11"/>
        <v>710.8612701053347</v>
      </c>
      <c r="K94" s="9">
        <f t="shared" si="12"/>
        <v>-3.308592691179742E-05</v>
      </c>
      <c r="L94" s="9">
        <f t="shared" si="13"/>
        <v>0.00014483854742186936</v>
      </c>
      <c r="M94" s="9">
        <f t="shared" si="14"/>
        <v>-0.0003756475784356449</v>
      </c>
      <c r="N94" s="9">
        <f t="shared" si="15"/>
        <v>0.0001425275938837225</v>
      </c>
      <c r="O94" s="9">
        <f t="shared" si="16"/>
        <v>2.2072883378889902E-08</v>
      </c>
      <c r="P94" s="10">
        <f t="shared" si="17"/>
        <v>1.6142521820284735E-07</v>
      </c>
      <c r="Q94" s="8">
        <f t="shared" si="18"/>
        <v>-76.56140931281125</v>
      </c>
      <c r="R94" s="8">
        <f t="shared" si="19"/>
        <v>-67.92028617874092</v>
      </c>
      <c r="S94" s="8">
        <f t="shared" si="20"/>
        <v>-8.641123134070327</v>
      </c>
      <c r="T94" s="8">
        <f t="shared" si="21"/>
        <v>12.265373605769287</v>
      </c>
      <c r="V94" s="21">
        <f>T94-riaa_curve!G78</f>
        <v>0.010677998931436505</v>
      </c>
      <c r="W94" s="21">
        <f>T94-riaa_curve!H78</f>
        <v>0.012389257554946909</v>
      </c>
    </row>
    <row r="95" spans="9:23" ht="12.75">
      <c r="I95" s="13">
        <v>121.257325320832</v>
      </c>
      <c r="J95" s="10">
        <f t="shared" si="11"/>
        <v>761.8822448437468</v>
      </c>
      <c r="K95" s="9">
        <f t="shared" si="12"/>
        <v>-3.800574981713433E-05</v>
      </c>
      <c r="L95" s="9">
        <f t="shared" si="13"/>
        <v>0.00015522225801658076</v>
      </c>
      <c r="M95" s="9">
        <f t="shared" si="14"/>
        <v>-0.00043150575540765076</v>
      </c>
      <c r="N95" s="9">
        <f t="shared" si="15"/>
        <v>0.00014961670082939561</v>
      </c>
      <c r="O95" s="9">
        <f t="shared" si="16"/>
        <v>2.5538386402928574E-08</v>
      </c>
      <c r="P95" s="10">
        <f t="shared" si="17"/>
        <v>2.085823741170002E-07</v>
      </c>
      <c r="Q95" s="8">
        <f t="shared" si="18"/>
        <v>-75.92806546322498</v>
      </c>
      <c r="R95" s="8">
        <f t="shared" si="19"/>
        <v>-66.80722393642685</v>
      </c>
      <c r="S95" s="8">
        <f t="shared" si="20"/>
        <v>-9.12084152679813</v>
      </c>
      <c r="T95" s="8">
        <f t="shared" si="21"/>
        <v>11.785655213041483</v>
      </c>
      <c r="V95" s="21">
        <f>T95-riaa_curve!G79</f>
        <v>0.010566976023349994</v>
      </c>
      <c r="W95" s="21">
        <f>T95-riaa_curve!H79</f>
        <v>0.012274934661315129</v>
      </c>
    </row>
    <row r="96" spans="9:23" ht="12.75">
      <c r="I96" s="13">
        <v>129.960383416998</v>
      </c>
      <c r="J96" s="10">
        <f t="shared" si="11"/>
        <v>816.5651716011075</v>
      </c>
      <c r="K96" s="9">
        <f t="shared" si="12"/>
        <v>-4.36571422953712E-05</v>
      </c>
      <c r="L96" s="9">
        <f t="shared" si="13"/>
        <v>0.00016634850361301655</v>
      </c>
      <c r="M96" s="9">
        <f t="shared" si="14"/>
        <v>-0.0004956699514085228</v>
      </c>
      <c r="N96" s="9">
        <f t="shared" si="15"/>
        <v>0.0001564886872373871</v>
      </c>
      <c r="O96" s="9">
        <f t="shared" si="16"/>
        <v>2.957777072768807E-08</v>
      </c>
      <c r="P96" s="10">
        <f t="shared" si="17"/>
        <v>2.7017740996260813E-07</v>
      </c>
      <c r="Q96" s="8">
        <f t="shared" si="18"/>
        <v>-75.29034561818095</v>
      </c>
      <c r="R96" s="8">
        <f t="shared" si="19"/>
        <v>-65.68350965968024</v>
      </c>
      <c r="S96" s="8">
        <f t="shared" si="20"/>
        <v>-9.60683595850071</v>
      </c>
      <c r="T96" s="8">
        <f t="shared" si="21"/>
        <v>11.299660781338904</v>
      </c>
      <c r="V96" s="21">
        <f>T96-riaa_curve!G80</f>
        <v>0.01046017690090828</v>
      </c>
      <c r="W96" s="21">
        <f>T96-riaa_curve!H80</f>
        <v>0.01216434485400164</v>
      </c>
    </row>
    <row r="97" spans="9:23" ht="12.75">
      <c r="I97" s="13">
        <v>139.28809012738</v>
      </c>
      <c r="J97" s="10">
        <f t="shared" si="11"/>
        <v>875.17288135346</v>
      </c>
      <c r="K97" s="9">
        <f t="shared" si="12"/>
        <v>-5.01488875385642E-05</v>
      </c>
      <c r="L97" s="9">
        <f t="shared" si="13"/>
        <v>0.00017826994521559562</v>
      </c>
      <c r="M97" s="9">
        <f t="shared" si="14"/>
        <v>-0.0005693752578044284</v>
      </c>
      <c r="N97" s="9">
        <f t="shared" si="15"/>
        <v>0.00016296017488403314</v>
      </c>
      <c r="O97" s="9">
        <f t="shared" si="16"/>
        <v>3.429508428852703E-08</v>
      </c>
      <c r="P97" s="10">
        <f t="shared" si="17"/>
        <v>3.5074420279809395E-07</v>
      </c>
      <c r="Q97" s="8">
        <f t="shared" si="18"/>
        <v>-74.6476812541966</v>
      </c>
      <c r="R97" s="8">
        <f t="shared" si="19"/>
        <v>-64.55009498385432</v>
      </c>
      <c r="S97" s="8">
        <f t="shared" si="20"/>
        <v>-10.097586270342276</v>
      </c>
      <c r="T97" s="8">
        <f t="shared" si="21"/>
        <v>10.808910469497338</v>
      </c>
      <c r="V97" s="21">
        <f>T97-riaa_curve!G81</f>
        <v>0.010356635102573009</v>
      </c>
      <c r="W97" s="21">
        <f>T97-riaa_curve!H81</f>
        <v>0.012056448706273315</v>
      </c>
    </row>
    <row r="98" spans="9:23" ht="12.75">
      <c r="I98" s="13">
        <v>149.285278645889</v>
      </c>
      <c r="J98" s="10">
        <f t="shared" si="11"/>
        <v>937.9870693660603</v>
      </c>
      <c r="K98" s="9">
        <f t="shared" si="12"/>
        <v>-5.760594462047977E-05</v>
      </c>
      <c r="L98" s="9">
        <f t="shared" si="13"/>
        <v>0.00019104287710675026</v>
      </c>
      <c r="M98" s="9">
        <f t="shared" si="14"/>
        <v>-0.0006540404220159571</v>
      </c>
      <c r="N98" s="9">
        <f t="shared" si="15"/>
        <v>0.00016879583904097053</v>
      </c>
      <c r="O98" s="9">
        <f t="shared" si="16"/>
        <v>3.981582574884267E-08</v>
      </c>
      <c r="P98" s="10">
        <f t="shared" si="17"/>
        <v>4.562609089083565E-07</v>
      </c>
      <c r="Q98" s="8">
        <f t="shared" si="18"/>
        <v>-73.99944272919089</v>
      </c>
      <c r="R98" s="8">
        <f t="shared" si="19"/>
        <v>-63.40786738706285</v>
      </c>
      <c r="S98" s="8">
        <f t="shared" si="20"/>
        <v>-10.591575342128039</v>
      </c>
      <c r="T98" s="8">
        <f t="shared" si="21"/>
        <v>10.314921397711576</v>
      </c>
      <c r="V98" s="21">
        <f>T98-riaa_curve!G82</f>
        <v>0.010255258707010384</v>
      </c>
      <c r="W98" s="21">
        <f>T98-riaa_curve!H82</f>
        <v>0.011950070482113162</v>
      </c>
    </row>
    <row r="99" spans="9:23" ht="12.75">
      <c r="I99" s="13">
        <v>160</v>
      </c>
      <c r="J99" s="10">
        <f t="shared" si="11"/>
        <v>1005.3096491487338</v>
      </c>
      <c r="K99" s="9">
        <f t="shared" si="12"/>
        <v>-6.617185382359557E-05</v>
      </c>
      <c r="L99" s="9">
        <f t="shared" si="13"/>
        <v>0.00020472745378388407</v>
      </c>
      <c r="M99" s="9">
        <f t="shared" si="14"/>
        <v>-0.0007512951568712981</v>
      </c>
      <c r="N99" s="9">
        <f t="shared" si="15"/>
        <v>0.00017369571520140268</v>
      </c>
      <c r="O99" s="9">
        <f t="shared" si="16"/>
        <v>4.6292044571283683E-08</v>
      </c>
      <c r="P99" s="10">
        <f t="shared" si="17"/>
        <v>5.946146142175952E-07</v>
      </c>
      <c r="Q99" s="8">
        <f t="shared" si="18"/>
        <v>-73.3449363739785</v>
      </c>
      <c r="R99" s="8">
        <f t="shared" si="19"/>
        <v>-62.257644210711035</v>
      </c>
      <c r="S99" s="8">
        <f t="shared" si="20"/>
        <v>-11.087292163267463</v>
      </c>
      <c r="T99" s="8">
        <f t="shared" si="21"/>
        <v>9.819204576572151</v>
      </c>
      <c r="V99" s="21">
        <f>T99-riaa_curve!G83</f>
        <v>0.010154842343228054</v>
      </c>
      <c r="W99" s="21">
        <f>T99-riaa_curve!H83</f>
        <v>0.011843908533158753</v>
      </c>
    </row>
    <row r="100" spans="9:23" ht="12.75">
      <c r="I100" s="13">
        <v>171.483754005807</v>
      </c>
      <c r="J100" s="10">
        <f t="shared" si="11"/>
        <v>1077.464203589285</v>
      </c>
      <c r="K100" s="9">
        <f t="shared" si="12"/>
        <v>-7.601149963426856E-05</v>
      </c>
      <c r="L100" s="9">
        <f t="shared" si="13"/>
        <v>0.00021938792536337979</v>
      </c>
      <c r="M100" s="9">
        <f t="shared" si="14"/>
        <v>-0.0008630115108153003</v>
      </c>
      <c r="N100" s="9">
        <f t="shared" si="15"/>
        <v>0.0001772795225811729</v>
      </c>
      <c r="O100" s="9">
        <f t="shared" si="16"/>
        <v>5.3908809871898306E-08</v>
      </c>
      <c r="P100" s="10">
        <f t="shared" si="17"/>
        <v>7.762168969263158E-07</v>
      </c>
      <c r="Q100" s="8">
        <f t="shared" si="18"/>
        <v>-72.68340255850322</v>
      </c>
      <c r="R100" s="8">
        <f t="shared" si="19"/>
        <v>-61.100169076382755</v>
      </c>
      <c r="S100" s="8">
        <f t="shared" si="20"/>
        <v>-11.583233482120463</v>
      </c>
      <c r="T100" s="8">
        <f t="shared" si="21"/>
        <v>9.323263257719152</v>
      </c>
      <c r="V100" s="21">
        <f>T100-riaa_curve!G84</f>
        <v>0.010054074652577683</v>
      </c>
      <c r="W100" s="21">
        <f>T100-riaa_curve!H84</f>
        <v>0.011736540907651971</v>
      </c>
    </row>
    <row r="101" spans="9:23" ht="12.75">
      <c r="I101" s="13">
        <v>183.791736799525</v>
      </c>
      <c r="J101" s="10">
        <f t="shared" si="11"/>
        <v>1154.7975402397933</v>
      </c>
      <c r="K101" s="9">
        <f t="shared" si="12"/>
        <v>-8.731428459074138E-05</v>
      </c>
      <c r="L101" s="9">
        <f t="shared" si="13"/>
        <v>0.00023509288025159178</v>
      </c>
      <c r="M101" s="9">
        <f t="shared" si="14"/>
        <v>-0.0009913399028170342</v>
      </c>
      <c r="N101" s="9">
        <f t="shared" si="15"/>
        <v>0.000179067311304263</v>
      </c>
      <c r="O101" s="9">
        <f t="shared" si="16"/>
        <v>6.289244663858225E-08</v>
      </c>
      <c r="P101" s="10">
        <f t="shared" si="17"/>
        <v>1.0148199048950246E-06</v>
      </c>
      <c r="Q101" s="8">
        <f t="shared" si="18"/>
        <v>-72.01401510042206</v>
      </c>
      <c r="R101" s="8">
        <f t="shared" si="19"/>
        <v>-59.936110230217565</v>
      </c>
      <c r="S101" s="8">
        <f t="shared" si="20"/>
        <v>-12.077904870204492</v>
      </c>
      <c r="T101" s="8">
        <f t="shared" si="21"/>
        <v>8.828591869635122</v>
      </c>
      <c r="V101" s="21">
        <f>T101-riaa_curve!G85</f>
        <v>0.009951541144021192</v>
      </c>
      <c r="W101" s="21">
        <f>T101-riaa_curve!H85</f>
        <v>0.0116264260771608</v>
      </c>
    </row>
    <row r="102" spans="9:23" ht="12.75">
      <c r="I102" s="13">
        <v>196.983106135186</v>
      </c>
      <c r="J102" s="10">
        <f t="shared" si="11"/>
        <v>1237.6813582311977</v>
      </c>
      <c r="K102" s="9">
        <f t="shared" si="12"/>
        <v>-0.00010029777507712762</v>
      </c>
      <c r="L102" s="9">
        <f t="shared" si="13"/>
        <v>0.0002519154933787594</v>
      </c>
      <c r="M102" s="9">
        <f t="shared" si="14"/>
        <v>-0.001138750515608848</v>
      </c>
      <c r="N102" s="9">
        <f t="shared" si="15"/>
        <v>0.00017845557972467324</v>
      </c>
      <c r="O102" s="9">
        <f t="shared" si="16"/>
        <v>7.352105948968586E-08</v>
      </c>
      <c r="P102" s="10">
        <f t="shared" si="17"/>
        <v>1.3285991307342864E-06</v>
      </c>
      <c r="Q102" s="8">
        <f t="shared" si="18"/>
        <v>-71.33588243090814</v>
      </c>
      <c r="R102" s="8">
        <f t="shared" si="19"/>
        <v>-58.7660603604126</v>
      </c>
      <c r="S102" s="8">
        <f t="shared" si="20"/>
        <v>-12.56982207049554</v>
      </c>
      <c r="T102" s="8">
        <f t="shared" si="21"/>
        <v>8.336674669344074</v>
      </c>
      <c r="V102" s="21">
        <f>T102-riaa_curve!G86</f>
        <v>0.009845722606314666</v>
      </c>
      <c r="W102" s="21">
        <f>T102-riaa_curve!H86</f>
        <v>0.011511898903753703</v>
      </c>
    </row>
    <row r="103" spans="9:23" ht="12.75">
      <c r="I103" s="13">
        <v>211.121265723663</v>
      </c>
      <c r="J103" s="10">
        <f t="shared" si="11"/>
        <v>1326.5140348280765</v>
      </c>
      <c r="K103" s="9">
        <f t="shared" si="12"/>
        <v>-0.0001152118892409597</v>
      </c>
      <c r="L103" s="9">
        <f t="shared" si="13"/>
        <v>0.0002699337776550201</v>
      </c>
      <c r="M103" s="9">
        <f t="shared" si="14"/>
        <v>-0.0013080808440319158</v>
      </c>
      <c r="N103" s="9">
        <f t="shared" si="15"/>
        <v>0.00017468781077188653</v>
      </c>
      <c r="O103" s="9">
        <f t="shared" si="16"/>
        <v>8.6138023741581E-08</v>
      </c>
      <c r="P103" s="10">
        <f t="shared" si="17"/>
        <v>1.741591325755524E-06</v>
      </c>
      <c r="Q103" s="8">
        <f t="shared" si="18"/>
        <v>-70.64805096445856</v>
      </c>
      <c r="R103" s="8">
        <f t="shared" si="19"/>
        <v>-57.59053747027305</v>
      </c>
      <c r="S103" s="8">
        <f t="shared" si="20"/>
        <v>-13.057513494185514</v>
      </c>
      <c r="T103" s="8">
        <f t="shared" si="21"/>
        <v>7.8489832456541</v>
      </c>
      <c r="V103" s="21">
        <f>T103-riaa_curve!G87</f>
        <v>0.009734989383815673</v>
      </c>
      <c r="W103" s="21">
        <f>T103-riaa_curve!H87</f>
        <v>0.011391162107301511</v>
      </c>
    </row>
    <row r="104" spans="9:23" ht="12.75">
      <c r="I104" s="13">
        <v>226.274169979695</v>
      </c>
      <c r="J104" s="10">
        <f t="shared" si="11"/>
        <v>1421.7225402106758</v>
      </c>
      <c r="K104" s="9">
        <f t="shared" si="12"/>
        <v>-0.00013234370764719086</v>
      </c>
      <c r="L104" s="9">
        <f t="shared" si="13"/>
        <v>0.00028923083550635883</v>
      </c>
      <c r="M104" s="9">
        <f t="shared" si="14"/>
        <v>-0.0015025903137425934</v>
      </c>
      <c r="N104" s="9">
        <f t="shared" si="15"/>
        <v>0.00016681813295686256</v>
      </c>
      <c r="O104" s="9">
        <f t="shared" si="16"/>
        <v>1.0116933316151152E-07</v>
      </c>
      <c r="P104" s="10">
        <f t="shared" si="17"/>
        <v>2.285605940436279E-06</v>
      </c>
      <c r="Q104" s="8">
        <f t="shared" si="18"/>
        <v>-69.94951112566352</v>
      </c>
      <c r="R104" s="8">
        <f t="shared" si="19"/>
        <v>-56.40998643864663</v>
      </c>
      <c r="S104" s="8">
        <f t="shared" si="20"/>
        <v>-13.539524687016893</v>
      </c>
      <c r="T104" s="8">
        <f t="shared" si="21"/>
        <v>7.366972052822721</v>
      </c>
      <c r="V104" s="21">
        <f>T104-riaa_curve!G88</f>
        <v>0.009617591901632139</v>
      </c>
      <c r="W104" s="21">
        <f>T104-riaa_curve!H88</f>
        <v>0.011262273564607739</v>
      </c>
    </row>
    <row r="105" spans="9:23" ht="12.75">
      <c r="I105" s="13">
        <v>242.514650641663</v>
      </c>
      <c r="J105" s="10">
        <f t="shared" si="11"/>
        <v>1523.7644896874874</v>
      </c>
      <c r="K105" s="9">
        <f t="shared" si="12"/>
        <v>-0.0001520229992685361</v>
      </c>
      <c r="L105" s="9">
        <f t="shared" si="13"/>
        <v>0.00030989510634304047</v>
      </c>
      <c r="M105" s="9">
        <f t="shared" si="14"/>
        <v>-0.0017260230216305892</v>
      </c>
      <c r="N105" s="9">
        <f t="shared" si="15"/>
        <v>0.00015366651217838486</v>
      </c>
      <c r="O105" s="9">
        <f t="shared" si="16"/>
        <v>1.1914596924196569E-07</v>
      </c>
      <c r="P105" s="10">
        <f t="shared" si="17"/>
        <v>3.002768868163859E-06</v>
      </c>
      <c r="Q105" s="8">
        <f t="shared" si="18"/>
        <v>-69.23920645433199</v>
      </c>
      <c r="R105" s="8">
        <f t="shared" si="19"/>
        <v>-55.22478095421456</v>
      </c>
      <c r="S105" s="8">
        <f t="shared" si="20"/>
        <v>-14.014425500117433</v>
      </c>
      <c r="T105" s="8">
        <f t="shared" si="21"/>
        <v>6.892071239722181</v>
      </c>
      <c r="V105" s="21">
        <f>T105-riaa_curve!G89</f>
        <v>0.009491647865983666</v>
      </c>
      <c r="W105" s="21">
        <f>T105-riaa_curve!H89</f>
        <v>0.011123129804177623</v>
      </c>
    </row>
    <row r="106" spans="9:23" ht="12.75">
      <c r="I106" s="13">
        <v>259.920766833995</v>
      </c>
      <c r="J106" s="10">
        <f t="shared" si="11"/>
        <v>1633.1303432022085</v>
      </c>
      <c r="K106" s="9">
        <f t="shared" si="12"/>
        <v>-0.00017462856918148335</v>
      </c>
      <c r="L106" s="9">
        <f t="shared" si="13"/>
        <v>0.0003320206045554033</v>
      </c>
      <c r="M106" s="9">
        <f t="shared" si="14"/>
        <v>-0.001982679805634075</v>
      </c>
      <c r="N106" s="9">
        <f t="shared" si="15"/>
        <v>0.00013376351172297442</v>
      </c>
      <c r="O106" s="9">
        <f t="shared" si="16"/>
        <v>1.407328190237076E-07</v>
      </c>
      <c r="P106" s="10">
        <f t="shared" si="17"/>
        <v>3.948911888737635E-06</v>
      </c>
      <c r="Q106" s="8">
        <f t="shared" si="18"/>
        <v>-68.51604612879056</v>
      </c>
      <c r="R106" s="8">
        <f t="shared" si="19"/>
        <v>-54.03522556479194</v>
      </c>
      <c r="S106" s="8">
        <f t="shared" si="20"/>
        <v>-14.48082056399862</v>
      </c>
      <c r="T106" s="8">
        <f t="shared" si="21"/>
        <v>6.425676175840994</v>
      </c>
      <c r="V106" s="21">
        <f>T106-riaa_curve!G90</f>
        <v>0.009355126584079443</v>
      </c>
      <c r="W106" s="21">
        <f>T106-riaa_curve!H90</f>
        <v>0.010971446069643065</v>
      </c>
    </row>
    <row r="107" spans="9:23" ht="12.75">
      <c r="I107" s="13">
        <v>278.576180254759</v>
      </c>
      <c r="J107" s="10">
        <f t="shared" si="11"/>
        <v>1750.3457627069135</v>
      </c>
      <c r="K107" s="9">
        <f t="shared" si="12"/>
        <v>-0.00020059555015425538</v>
      </c>
      <c r="L107" s="9">
        <f t="shared" si="13"/>
        <v>0.000355707141062074</v>
      </c>
      <c r="M107" s="9">
        <f t="shared" si="14"/>
        <v>-0.0022775010312176976</v>
      </c>
      <c r="N107" s="9">
        <f t="shared" si="15"/>
        <v>0.0001052822038472267</v>
      </c>
      <c r="O107" s="9">
        <f t="shared" si="16"/>
        <v>1.6676614494424257E-07</v>
      </c>
      <c r="P107" s="10">
        <f t="shared" si="17"/>
        <v>5.198095289644605E-06</v>
      </c>
      <c r="Q107" s="8">
        <f t="shared" si="18"/>
        <v>-67.77892110510194</v>
      </c>
      <c r="R107" s="8">
        <f t="shared" si="19"/>
        <v>-52.841557634291746</v>
      </c>
      <c r="S107" s="8">
        <f t="shared" si="20"/>
        <v>-14.937363470810197</v>
      </c>
      <c r="T107" s="8">
        <f t="shared" si="21"/>
        <v>5.969133269029417</v>
      </c>
      <c r="V107" s="21">
        <f>T107-riaa_curve!G91</f>
        <v>0.009205830870392617</v>
      </c>
      <c r="W107" s="21">
        <f>T107-riaa_curve!H91</f>
        <v>0.010804733336888361</v>
      </c>
    </row>
    <row r="108" spans="9:23" ht="12.75">
      <c r="I108" s="13">
        <v>298.570557291778</v>
      </c>
      <c r="J108" s="10">
        <f t="shared" si="11"/>
        <v>1875.9741387321205</v>
      </c>
      <c r="K108" s="9">
        <f t="shared" si="12"/>
        <v>-0.0002304237784819191</v>
      </c>
      <c r="L108" s="9">
        <f t="shared" si="13"/>
        <v>0.0003810605194799969</v>
      </c>
      <c r="M108" s="9">
        <f t="shared" si="14"/>
        <v>-0.0026161616880638282</v>
      </c>
      <c r="N108" s="9">
        <f t="shared" si="15"/>
        <v>6.59542573607185E-05</v>
      </c>
      <c r="O108" s="9">
        <f t="shared" si="16"/>
        <v>1.9830223719624963E-07</v>
      </c>
      <c r="P108" s="10">
        <f t="shared" si="17"/>
        <v>6.848651942156984E-06</v>
      </c>
      <c r="Q108" s="8">
        <f t="shared" si="18"/>
        <v>-67.02672386165321</v>
      </c>
      <c r="R108" s="8">
        <f t="shared" si="19"/>
        <v>-51.64394904667837</v>
      </c>
      <c r="S108" s="8">
        <f t="shared" si="20"/>
        <v>-15.382774814974837</v>
      </c>
      <c r="T108" s="8">
        <f t="shared" si="21"/>
        <v>5.523721924864777</v>
      </c>
      <c r="V108" s="21">
        <f>T108-riaa_curve!G92</f>
        <v>0.009041377048781385</v>
      </c>
      <c r="W108" s="21">
        <f>T108-riaa_curve!H92</f>
        <v>0.010620272700325728</v>
      </c>
    </row>
    <row r="109" spans="9:23" ht="12.75">
      <c r="I109" s="13">
        <v>319.999999999999</v>
      </c>
      <c r="J109" s="10">
        <f t="shared" si="11"/>
        <v>2010.6192982974612</v>
      </c>
      <c r="K109" s="9">
        <f t="shared" si="12"/>
        <v>-0.0002646874152943806</v>
      </c>
      <c r="L109" s="9">
        <f t="shared" si="13"/>
        <v>0.00040819269555324676</v>
      </c>
      <c r="M109" s="9">
        <f t="shared" si="14"/>
        <v>-0.0030051806274851733</v>
      </c>
      <c r="N109" s="9">
        <f t="shared" si="15"/>
        <v>1.296653742645129E-05</v>
      </c>
      <c r="O109" s="9">
        <f t="shared" si="16"/>
        <v>2.366807045182455E-07</v>
      </c>
      <c r="P109" s="10">
        <f t="shared" si="17"/>
        <v>9.031278734905012E-06</v>
      </c>
      <c r="Q109" s="8">
        <f t="shared" si="18"/>
        <v>-66.25837146645613</v>
      </c>
      <c r="R109" s="8">
        <f t="shared" si="19"/>
        <v>-50.44250753762297</v>
      </c>
      <c r="S109" s="8">
        <f t="shared" si="20"/>
        <v>-15.815863928833153</v>
      </c>
      <c r="T109" s="8">
        <f t="shared" si="21"/>
        <v>5.090632811006461</v>
      </c>
      <c r="V109" s="21">
        <f>T109-riaa_curve!G93</f>
        <v>0.008859173649373275</v>
      </c>
      <c r="W109" s="21">
        <f>T109-riaa_curve!H93</f>
        <v>0.010415087619236374</v>
      </c>
    </row>
    <row r="110" spans="9:23" ht="12.75">
      <c r="I110" s="13">
        <v>342.967508011613</v>
      </c>
      <c r="J110" s="10">
        <f t="shared" si="11"/>
        <v>2154.9284071785637</v>
      </c>
      <c r="K110" s="9">
        <f t="shared" si="12"/>
        <v>-0.0003040459985370725</v>
      </c>
      <c r="L110" s="9">
        <f t="shared" si="13"/>
        <v>0.000437221885456625</v>
      </c>
      <c r="M110" s="9">
        <f t="shared" si="14"/>
        <v>-0.0034520460432611814</v>
      </c>
      <c r="N110" s="9">
        <f t="shared" si="15"/>
        <v>-5.716629350896478E-05</v>
      </c>
      <c r="O110" s="9">
        <f t="shared" si="16"/>
        <v>2.836069463486516E-07</v>
      </c>
      <c r="P110" s="10">
        <f t="shared" si="17"/>
        <v>1.1919889869908731E-05</v>
      </c>
      <c r="Q110" s="8">
        <f t="shared" si="18"/>
        <v>-65.47283136239521</v>
      </c>
      <c r="R110" s="8">
        <f t="shared" si="19"/>
        <v>-49.237277571051685</v>
      </c>
      <c r="S110" s="8">
        <f t="shared" si="20"/>
        <v>-16.235553791343527</v>
      </c>
      <c r="T110" s="8">
        <f t="shared" si="21"/>
        <v>4.670942948496087</v>
      </c>
      <c r="V110" s="21">
        <f>T110-riaa_curve!G94</f>
        <v>0.008656399551316696</v>
      </c>
      <c r="W110" s="21">
        <f>T110-riaa_curve!H94</f>
        <v>0.010185914651319905</v>
      </c>
    </row>
    <row r="111" spans="9:23" ht="12.75">
      <c r="I111" s="13">
        <v>367.58347359905</v>
      </c>
      <c r="J111" s="10">
        <f t="shared" si="11"/>
        <v>2309.5950804795866</v>
      </c>
      <c r="K111" s="9">
        <f t="shared" si="12"/>
        <v>-0.0003492571383629655</v>
      </c>
      <c r="L111" s="9">
        <f t="shared" si="13"/>
        <v>0.000468272604842327</v>
      </c>
      <c r="M111" s="9">
        <f t="shared" si="14"/>
        <v>-0.003965359611268137</v>
      </c>
      <c r="N111" s="9">
        <f t="shared" si="15"/>
        <v>-0.0001487587279292002</v>
      </c>
      <c r="O111" s="9">
        <f t="shared" si="16"/>
        <v>3.412597811433057E-07</v>
      </c>
      <c r="P111" s="10">
        <f t="shared" si="17"/>
        <v>1.57462060058117E-05</v>
      </c>
      <c r="Q111" s="8">
        <f t="shared" si="18"/>
        <v>-64.66914892081041</v>
      </c>
      <c r="R111" s="8">
        <f t="shared" si="19"/>
        <v>-48.02824071031811</v>
      </c>
      <c r="S111" s="8">
        <f t="shared" si="20"/>
        <v>-16.640908210492306</v>
      </c>
      <c r="T111" s="8">
        <f t="shared" si="21"/>
        <v>4.265588529347308</v>
      </c>
      <c r="V111" s="21">
        <f>T111-riaa_curve!G95</f>
        <v>0.00842998256376859</v>
      </c>
      <c r="W111" s="21">
        <f>T111-riaa_curve!H95</f>
        <v>0.009929173523422818</v>
      </c>
    </row>
    <row r="112" spans="9:23" ht="12.75">
      <c r="I112" s="13">
        <v>393.966212270372</v>
      </c>
      <c r="J112" s="10">
        <f t="shared" si="11"/>
        <v>2475.3627164623954</v>
      </c>
      <c r="K112" s="9">
        <f t="shared" si="12"/>
        <v>-0.0004011911003085105</v>
      </c>
      <c r="L112" s="9">
        <f t="shared" si="13"/>
        <v>0.000501475615853796</v>
      </c>
      <c r="M112" s="9">
        <f t="shared" si="14"/>
        <v>-0.004555002062435392</v>
      </c>
      <c r="N112" s="9">
        <f t="shared" si="15"/>
        <v>-0.0002671477572268618</v>
      </c>
      <c r="O112" s="9">
        <f t="shared" si="16"/>
        <v>4.1243209226269733E-07</v>
      </c>
      <c r="P112" s="10">
        <f t="shared" si="17"/>
        <v>2.0819411712982017E-05</v>
      </c>
      <c r="Q112" s="8">
        <f t="shared" si="18"/>
        <v>-63.84647548649595</v>
      </c>
      <c r="R112" s="8">
        <f t="shared" si="19"/>
        <v>-46.815315463632004</v>
      </c>
      <c r="S112" s="8">
        <f t="shared" si="20"/>
        <v>-17.031160022863943</v>
      </c>
      <c r="T112" s="8">
        <f t="shared" si="21"/>
        <v>3.8753367169756707</v>
      </c>
      <c r="V112" s="21">
        <f>T112-riaa_curve!G96</f>
        <v>0.008176579779306081</v>
      </c>
      <c r="W112" s="21">
        <f>T112-riaa_curve!H96</f>
        <v>0.009640937710123865</v>
      </c>
    </row>
    <row r="113" spans="9:23" ht="12.75">
      <c r="I113" s="13">
        <v>422.242531447325</v>
      </c>
      <c r="J113" s="10">
        <f aca="true" t="shared" si="22" ref="J113:J144">(2*PI()*I113)</f>
        <v>2653.0280696561467</v>
      </c>
      <c r="K113" s="9">
        <f aca="true" t="shared" si="23" ref="K113:K144">-J113*J113*$F$4*($F$6*$F$12+$F$5*$F$10)</f>
        <v>-0.00046084755696383666</v>
      </c>
      <c r="L113" s="9">
        <f aca="true" t="shared" si="24" ref="L113:L144">J113*$F$4*(1-J113*J113*$F$5*$F$6*$F$10*$F$12)</f>
        <v>0.0005369677535805654</v>
      </c>
      <c r="M113" s="9">
        <f aca="true" t="shared" si="25" ref="M113:M144">-J113*J113*(($F$5*$F$6*($F$10+$F$11+$F$12))+$F$4*($F$5*$F$10+$F$6*$F$11+$F$6*$F$12+$F$5*$F$9+$F$6*$F$9))</f>
        <v>-0.005232323376127639</v>
      </c>
      <c r="N113" s="9">
        <f aca="true" t="shared" si="26" ref="N113:N144">J113*($F$4-$F$4*J113*J113*$F$5*$F$6*($F$10*$F$12+$F$10*$F$11+$F$9*$F$10+$F$9*$F$11+$F$9*$F$12)+$F$5+$F$6)</f>
        <v>-0.0004189310273202212</v>
      </c>
      <c r="O113" s="9">
        <f aca="true" t="shared" si="27" ref="O113:O144">K113*K113+L113*L113</f>
        <v>5.007148391448954E-07</v>
      </c>
      <c r="P113" s="10">
        <f aca="true" t="shared" si="28" ref="P113:P144">M113*M113+N113*N113</f>
        <v>2.7552711118023312E-05</v>
      </c>
      <c r="Q113" s="8">
        <f aca="true" t="shared" si="29" ref="Q113:Q144">10*LOG10(O113)</f>
        <v>-63.00409537693865</v>
      </c>
      <c r="R113" s="8">
        <f aca="true" t="shared" si="30" ref="R113:R144">10*LOG10(P113)</f>
        <v>-45.598356612162746</v>
      </c>
      <c r="S113" s="8">
        <f aca="true" t="shared" si="31" ref="S113:S144">Q113-R113</f>
        <v>-17.405738764775904</v>
      </c>
      <c r="T113" s="8">
        <f aca="true" t="shared" si="32" ref="T113:T144">S113-$S$45</f>
        <v>3.50075797506371</v>
      </c>
      <c r="V113" s="21">
        <f>T113-riaa_curve!G97</f>
        <v>0.0078925614966181</v>
      </c>
      <c r="W113" s="21">
        <f>T113-riaa_curve!H97</f>
        <v>0.009316907129296226</v>
      </c>
    </row>
    <row r="114" spans="9:23" ht="12.75">
      <c r="I114" s="13">
        <v>452.548339959389</v>
      </c>
      <c r="J114" s="10">
        <f t="shared" si="22"/>
        <v>2843.4450804213457</v>
      </c>
      <c r="K114" s="9">
        <f t="shared" si="23"/>
        <v>-0.0005293748305887613</v>
      </c>
      <c r="L114" s="9">
        <f t="shared" si="24"/>
        <v>0.0005748915963136673</v>
      </c>
      <c r="M114" s="9">
        <f t="shared" si="25"/>
        <v>-0.006010361254970348</v>
      </c>
      <c r="N114" s="9">
        <f t="shared" si="26"/>
        <v>-0.0006122601725709351</v>
      </c>
      <c r="O114" s="9">
        <f t="shared" si="27"/>
        <v>6.107380587729563E-07</v>
      </c>
      <c r="P114" s="10">
        <f t="shared" si="28"/>
        <v>3.649930493416533E-05</v>
      </c>
      <c r="Q114" s="8">
        <f t="shared" si="29"/>
        <v>-62.14145015651637</v>
      </c>
      <c r="R114" s="8">
        <f t="shared" si="30"/>
        <v>-44.377154058484784</v>
      </c>
      <c r="S114" s="8">
        <f t="shared" si="31"/>
        <v>-17.764296098031586</v>
      </c>
      <c r="T114" s="8">
        <f t="shared" si="32"/>
        <v>3.142200641808028</v>
      </c>
      <c r="V114" s="21">
        <f>T114-riaa_curve!G98</f>
        <v>0.007574001090127069</v>
      </c>
      <c r="W114" s="21">
        <f>T114-riaa_curve!H98</f>
        <v>0.008952385116685946</v>
      </c>
    </row>
    <row r="115" spans="9:23" ht="12.75">
      <c r="I115" s="13">
        <v>485.029301283326</v>
      </c>
      <c r="J115" s="10">
        <f t="shared" si="22"/>
        <v>3047.528979374975</v>
      </c>
      <c r="K115" s="9">
        <f t="shared" si="23"/>
        <v>-0.0006080919970741444</v>
      </c>
      <c r="L115" s="9">
        <f t="shared" si="24"/>
        <v>0.0006153949351651224</v>
      </c>
      <c r="M115" s="9">
        <f t="shared" si="25"/>
        <v>-0.006904092086522357</v>
      </c>
      <c r="N115" s="9">
        <f t="shared" si="26"/>
        <v>-0.0008572020914864742</v>
      </c>
      <c r="O115" s="9">
        <f t="shared" si="27"/>
        <v>7.484868031325065E-07</v>
      </c>
      <c r="P115" s="10">
        <f t="shared" si="28"/>
        <v>4.840128296482942E-05</v>
      </c>
      <c r="Q115" s="8">
        <f t="shared" si="29"/>
        <v>-61.25815852471572</v>
      </c>
      <c r="R115" s="8">
        <f t="shared" si="30"/>
        <v>-43.15143126430769</v>
      </c>
      <c r="S115" s="8">
        <f t="shared" si="31"/>
        <v>-18.10672726040803</v>
      </c>
      <c r="T115" s="8">
        <f t="shared" si="32"/>
        <v>2.7997694794315855</v>
      </c>
      <c r="V115" s="21">
        <f>T115-riaa_curve!G99</f>
        <v>0.007216673898525983</v>
      </c>
      <c r="W115" s="21">
        <f>T115-riaa_curve!H99</f>
        <v>0.008542262504022347</v>
      </c>
    </row>
    <row r="116" spans="9:23" ht="12.75">
      <c r="I116" s="13">
        <v>519.84153366799</v>
      </c>
      <c r="J116" s="10">
        <f t="shared" si="22"/>
        <v>3266.260686404417</v>
      </c>
      <c r="K116" s="9">
        <f t="shared" si="23"/>
        <v>-0.0006985142767259334</v>
      </c>
      <c r="L116" s="9">
        <f t="shared" si="24"/>
        <v>0.0006586299877457781</v>
      </c>
      <c r="M116" s="9">
        <f t="shared" si="25"/>
        <v>-0.0079307192225363</v>
      </c>
      <c r="N116" s="9">
        <f t="shared" si="26"/>
        <v>-0.0011661838785684425</v>
      </c>
      <c r="O116" s="9">
        <f t="shared" si="27"/>
        <v>9.217156555479576E-07</v>
      </c>
      <c r="P116" s="10">
        <f t="shared" si="28"/>
        <v>6.42562922253397E-05</v>
      </c>
      <c r="Q116" s="8">
        <f t="shared" si="29"/>
        <v>-60.35403035857882</v>
      </c>
      <c r="R116" s="8">
        <f t="shared" si="30"/>
        <v>-41.92084338114297</v>
      </c>
      <c r="S116" s="8">
        <f t="shared" si="31"/>
        <v>-18.433186977435845</v>
      </c>
      <c r="T116" s="8">
        <f t="shared" si="32"/>
        <v>2.473309762403769</v>
      </c>
      <c r="V116" s="21">
        <f>T116-riaa_curve!G100</f>
        <v>0.006816068984406343</v>
      </c>
      <c r="W116" s="21">
        <f>T116-riaa_curve!H100</f>
        <v>0.008081012368627682</v>
      </c>
    </row>
    <row r="117" spans="9:23" ht="12.75">
      <c r="I117" s="13">
        <v>557.152360509518</v>
      </c>
      <c r="J117" s="10">
        <f t="shared" si="22"/>
        <v>3500.691525413827</v>
      </c>
      <c r="K117" s="9">
        <f t="shared" si="23"/>
        <v>-0.0008023822006170215</v>
      </c>
      <c r="L117" s="9">
        <f t="shared" si="24"/>
        <v>0.0007047522871712206</v>
      </c>
      <c r="M117" s="9">
        <f t="shared" si="25"/>
        <v>-0.00911000412487079</v>
      </c>
      <c r="N117" s="9">
        <f t="shared" si="26"/>
        <v>-0.001554540759672258</v>
      </c>
      <c r="O117" s="9">
        <f t="shared" si="27"/>
        <v>1.1404929821400807E-06</v>
      </c>
      <c r="P117" s="10">
        <f t="shared" si="28"/>
        <v>8.540877212864522E-05</v>
      </c>
      <c r="Q117" s="8">
        <f t="shared" si="29"/>
        <v>-59.429073827478895</v>
      </c>
      <c r="R117" s="8">
        <f t="shared" si="30"/>
        <v>-40.68497521683166</v>
      </c>
      <c r="S117" s="8">
        <f t="shared" si="31"/>
        <v>-18.744098610647235</v>
      </c>
      <c r="T117" s="8">
        <f t="shared" si="32"/>
        <v>2.162398129192379</v>
      </c>
      <c r="V117" s="21">
        <f>T117-riaa_curve!G101</f>
        <v>0.006367418439367611</v>
      </c>
      <c r="W117" s="21">
        <f>T117-riaa_curve!H101</f>
        <v>0.0075626998027615855</v>
      </c>
    </row>
    <row r="118" spans="9:23" ht="12.75">
      <c r="I118" s="13">
        <v>597.141114583556</v>
      </c>
      <c r="J118" s="10">
        <f t="shared" si="22"/>
        <v>3751.948277464241</v>
      </c>
      <c r="K118" s="9">
        <f t="shared" si="23"/>
        <v>-0.0009216951139276764</v>
      </c>
      <c r="L118" s="9">
        <f t="shared" si="24"/>
        <v>0.0007539191610919652</v>
      </c>
      <c r="M118" s="9">
        <f t="shared" si="25"/>
        <v>-0.010464646752255313</v>
      </c>
      <c r="N118" s="9">
        <f t="shared" si="26"/>
        <v>-0.002041190851048344</v>
      </c>
      <c r="O118" s="9">
        <f t="shared" si="27"/>
        <v>1.4179159844997649E-06</v>
      </c>
      <c r="P118" s="10">
        <f t="shared" si="28"/>
        <v>0.00011367529173989114</v>
      </c>
      <c r="Q118" s="8">
        <f t="shared" si="29"/>
        <v>-58.48349501557125</v>
      </c>
      <c r="R118" s="8">
        <f t="shared" si="30"/>
        <v>-39.443339225342264</v>
      </c>
      <c r="S118" s="8">
        <f t="shared" si="31"/>
        <v>-19.040155790228987</v>
      </c>
      <c r="T118" s="8">
        <f t="shared" si="32"/>
        <v>1.8663409496106276</v>
      </c>
      <c r="V118" s="21">
        <f>T118-riaa_curve!G102</f>
        <v>0.0058657497066541</v>
      </c>
      <c r="W118" s="21">
        <f>T118-riaa_curve!H102</f>
        <v>0.006981011800281323</v>
      </c>
    </row>
    <row r="119" spans="9:23" ht="12.75">
      <c r="I119" s="13">
        <v>639.999999999999</v>
      </c>
      <c r="J119" s="10">
        <f t="shared" si="22"/>
        <v>4021.238596594929</v>
      </c>
      <c r="K119" s="9">
        <f t="shared" si="23"/>
        <v>-0.0010587496611775256</v>
      </c>
      <c r="L119" s="9">
        <f t="shared" si="24"/>
        <v>0.000806287694990334</v>
      </c>
      <c r="M119" s="9">
        <f t="shared" si="25"/>
        <v>-0.012020722509940731</v>
      </c>
      <c r="N119" s="9">
        <f t="shared" si="26"/>
        <v>-0.0026494660689579423</v>
      </c>
      <c r="O119" s="9">
        <f t="shared" si="27"/>
        <v>1.771050692136351E-06</v>
      </c>
      <c r="P119" s="10">
        <f t="shared" si="28"/>
        <v>0.00015151744011155524</v>
      </c>
      <c r="Q119" s="8">
        <f t="shared" si="29"/>
        <v>-57.51769007979873</v>
      </c>
      <c r="R119" s="8">
        <f t="shared" si="30"/>
        <v>-38.195373756878006</v>
      </c>
      <c r="S119" s="8">
        <f t="shared" si="31"/>
        <v>-19.322316322920727</v>
      </c>
      <c r="T119" s="8">
        <f t="shared" si="32"/>
        <v>1.584180416918887</v>
      </c>
      <c r="V119" s="21">
        <f>T119-riaa_curve!G103</f>
        <v>0.005305967072299467</v>
      </c>
      <c r="W119" s="21">
        <f>T119-riaa_curve!H103</f>
        <v>0.006329312981858237</v>
      </c>
    </row>
    <row r="120" spans="9:23" ht="12.75">
      <c r="I120" s="13">
        <v>685.935016023226</v>
      </c>
      <c r="J120" s="10">
        <f t="shared" si="22"/>
        <v>4309.856814357127</v>
      </c>
      <c r="K120" s="9">
        <f t="shared" si="23"/>
        <v>-0.00121618399414829</v>
      </c>
      <c r="L120" s="9">
        <f t="shared" si="24"/>
        <v>0.0008620120487521841</v>
      </c>
      <c r="M120" s="9">
        <f t="shared" si="25"/>
        <v>-0.013808184173044726</v>
      </c>
      <c r="N120" s="9">
        <f t="shared" si="26"/>
        <v>-0.003408135296388412</v>
      </c>
      <c r="O120" s="9">
        <f t="shared" si="27"/>
        <v>2.2221682798164257E-06</v>
      </c>
      <c r="P120" s="10">
        <f t="shared" si="28"/>
        <v>0.00020228133635521138</v>
      </c>
      <c r="Q120" s="8">
        <f t="shared" si="29"/>
        <v>-56.53223056003426</v>
      </c>
      <c r="R120" s="8">
        <f t="shared" si="30"/>
        <v>-36.940441858988116</v>
      </c>
      <c r="S120" s="8">
        <f t="shared" si="31"/>
        <v>-19.59178870104614</v>
      </c>
      <c r="T120" s="8">
        <f t="shared" si="32"/>
        <v>1.3147080387934729</v>
      </c>
      <c r="V120" s="21">
        <f>T120-riaa_curve!G104</f>
        <v>0.004682968915293628</v>
      </c>
      <c r="W120" s="21">
        <f>T120-riaa_curve!H104</f>
        <v>0.005600733256127199</v>
      </c>
    </row>
    <row r="121" spans="9:23" ht="12.75">
      <c r="I121" s="13">
        <v>735.166947198101</v>
      </c>
      <c r="J121" s="10">
        <f t="shared" si="22"/>
        <v>4619.190160959179</v>
      </c>
      <c r="K121" s="9">
        <f t="shared" si="23"/>
        <v>-0.0013970285534518655</v>
      </c>
      <c r="L121" s="9">
        <f t="shared" si="24"/>
        <v>0.0009212399643978024</v>
      </c>
      <c r="M121" s="9">
        <f t="shared" si="25"/>
        <v>-0.015861438445072585</v>
      </c>
      <c r="N121" s="9">
        <f t="shared" si="26"/>
        <v>-0.004352664260160228</v>
      </c>
      <c r="O121" s="9">
        <f t="shared" si="27"/>
        <v>2.800371851163476E-06</v>
      </c>
      <c r="P121" s="10">
        <f t="shared" si="28"/>
        <v>0.0002705309157085028</v>
      </c>
      <c r="Q121" s="8">
        <f t="shared" si="29"/>
        <v>-55.52784296448536</v>
      </c>
      <c r="R121" s="8">
        <f t="shared" si="30"/>
        <v>-35.67783097454269</v>
      </c>
      <c r="S121" s="8">
        <f t="shared" si="31"/>
        <v>-19.850011989942672</v>
      </c>
      <c r="T121" s="8">
        <f t="shared" si="32"/>
        <v>1.056484749896942</v>
      </c>
      <c r="V121" s="21">
        <f>T121-riaa_curve!G105</f>
        <v>0.003991807351752641</v>
      </c>
      <c r="W121" s="21">
        <f>T121-riaa_curve!H105</f>
        <v>0.004788293485887607</v>
      </c>
    </row>
    <row r="122" spans="9:23" ht="12.75">
      <c r="I122" s="13">
        <v>787.932424540744</v>
      </c>
      <c r="J122" s="10">
        <f t="shared" si="22"/>
        <v>4950.725432924791</v>
      </c>
      <c r="K122" s="9">
        <f t="shared" si="23"/>
        <v>-0.001604764401234042</v>
      </c>
      <c r="L122" s="9">
        <f t="shared" si="24"/>
        <v>0.0009841082644778101</v>
      </c>
      <c r="M122" s="9">
        <f t="shared" si="25"/>
        <v>-0.018220008249741567</v>
      </c>
      <c r="N122" s="9">
        <f t="shared" si="26"/>
        <v>-0.005526766847863389</v>
      </c>
      <c r="O122" s="9">
        <f t="shared" si="27"/>
        <v>3.5437378596815806E-06</v>
      </c>
      <c r="P122" s="10">
        <f t="shared" si="28"/>
        <v>0.0003625138524112926</v>
      </c>
      <c r="Q122" s="8">
        <f t="shared" si="29"/>
        <v>-54.505384115887196</v>
      </c>
      <c r="R122" s="8">
        <f t="shared" si="30"/>
        <v>-34.40675393476873</v>
      </c>
      <c r="S122" s="8">
        <f t="shared" si="31"/>
        <v>-20.098630181118466</v>
      </c>
      <c r="T122" s="8">
        <f t="shared" si="32"/>
        <v>0.8078665587211482</v>
      </c>
      <c r="V122" s="21">
        <f>T122-riaa_curve!G106</f>
        <v>0.003227896369264016</v>
      </c>
      <c r="W122" s="21">
        <f>T122-riaa_curve!H106</f>
        <v>0.003885074606319705</v>
      </c>
    </row>
    <row r="123" spans="9:23" ht="12.75">
      <c r="I123" s="13">
        <v>844.48506289465</v>
      </c>
      <c r="J123" s="10">
        <f t="shared" si="22"/>
        <v>5306.056139312293</v>
      </c>
      <c r="K123" s="9">
        <f t="shared" si="23"/>
        <v>-0.0018433902278553467</v>
      </c>
      <c r="L123" s="9">
        <f t="shared" si="24"/>
        <v>0.0010507370933253433</v>
      </c>
      <c r="M123" s="9">
        <f t="shared" si="25"/>
        <v>-0.020929293504510556</v>
      </c>
      <c r="N123" s="9">
        <f t="shared" si="26"/>
        <v>-0.0069843152455524</v>
      </c>
      <c r="O123" s="9">
        <f t="shared" si="27"/>
        <v>4.502135971442378E-06</v>
      </c>
      <c r="P123" s="10">
        <f t="shared" si="28"/>
        <v>0.00048681598604720345</v>
      </c>
      <c r="Q123" s="8">
        <f t="shared" si="29"/>
        <v>-53.46581392774995</v>
      </c>
      <c r="R123" s="8">
        <f t="shared" si="30"/>
        <v>-33.12635168860018</v>
      </c>
      <c r="S123" s="8">
        <f t="shared" si="31"/>
        <v>-20.339462239149768</v>
      </c>
      <c r="T123" s="8">
        <f t="shared" si="32"/>
        <v>0.5670345006898465</v>
      </c>
      <c r="V123" s="21">
        <f>T123-riaa_curve!G107</f>
        <v>0.0023872732114007533</v>
      </c>
      <c r="W123" s="21">
        <f>T123-riaa_curve!H107</f>
        <v>0.002884434210706388</v>
      </c>
    </row>
    <row r="124" spans="9:23" ht="12.75">
      <c r="I124" s="13">
        <v>905.096679918779</v>
      </c>
      <c r="J124" s="10">
        <f t="shared" si="22"/>
        <v>5686.890160842698</v>
      </c>
      <c r="K124" s="9">
        <f t="shared" si="23"/>
        <v>-0.00211749932235505</v>
      </c>
      <c r="L124" s="9">
        <f t="shared" si="24"/>
        <v>0.0011212225950349424</v>
      </c>
      <c r="M124" s="9">
        <f t="shared" si="25"/>
        <v>-0.02404144501988145</v>
      </c>
      <c r="N124" s="9">
        <f t="shared" si="26"/>
        <v>-0.008791691853019187</v>
      </c>
      <c r="O124" s="9">
        <f t="shared" si="27"/>
        <v>5.740943487790986E-06</v>
      </c>
      <c r="P124" s="10">
        <f t="shared" si="28"/>
        <v>0.0006552849242824264</v>
      </c>
      <c r="Q124" s="8">
        <f t="shared" si="29"/>
        <v>-52.41016728182256</v>
      </c>
      <c r="R124" s="8">
        <f t="shared" si="30"/>
        <v>-31.835698234619404</v>
      </c>
      <c r="S124" s="8">
        <f t="shared" si="31"/>
        <v>-20.574469047203156</v>
      </c>
      <c r="T124" s="8">
        <f t="shared" si="32"/>
        <v>0.3320276926364585</v>
      </c>
      <c r="V124" s="21">
        <f>T124-riaa_curve!G108</f>
        <v>0.0014669154230126935</v>
      </c>
      <c r="W124" s="21">
        <f>T124-riaa_curve!H108</f>
        <v>0.0017802721603850102</v>
      </c>
    </row>
    <row r="125" spans="9:23" ht="12.75">
      <c r="I125" s="13">
        <v>970.058602566652</v>
      </c>
      <c r="J125" s="10">
        <f t="shared" si="22"/>
        <v>6095.05795874995</v>
      </c>
      <c r="K125" s="9">
        <f t="shared" si="23"/>
        <v>-0.0024323679882965778</v>
      </c>
      <c r="L125" s="9">
        <f t="shared" si="24"/>
        <v>0.0011956276501625775</v>
      </c>
      <c r="M125" s="9">
        <f t="shared" si="25"/>
        <v>-0.027616368346089427</v>
      </c>
      <c r="N125" s="9">
        <f t="shared" si="26"/>
        <v>-0.011030685109718897</v>
      </c>
      <c r="O125" s="9">
        <f t="shared" si="27"/>
        <v>7.345939508323228E-06</v>
      </c>
      <c r="P125" s="10">
        <f t="shared" si="28"/>
        <v>0.0008843398146166643</v>
      </c>
      <c r="Q125" s="8">
        <f t="shared" si="29"/>
        <v>-51.33952652264832</v>
      </c>
      <c r="R125" s="8">
        <f t="shared" si="30"/>
        <v>-30.533808218026124</v>
      </c>
      <c r="S125" s="8">
        <f t="shared" si="31"/>
        <v>-20.805718304622197</v>
      </c>
      <c r="T125" s="8">
        <f t="shared" si="32"/>
        <v>0.1007784352174177</v>
      </c>
      <c r="V125" s="21">
        <f>T125-riaa_curve!G109</f>
        <v>0.0004651124242975868</v>
      </c>
      <c r="W125" s="21">
        <f>T125-riaa_curve!H109</f>
        <v>0.0005673431080523983</v>
      </c>
    </row>
    <row r="126" spans="9:23" ht="12.75">
      <c r="I126" s="13">
        <v>1039.68306733598</v>
      </c>
      <c r="J126" s="10">
        <f t="shared" si="22"/>
        <v>6532.521372808834</v>
      </c>
      <c r="K126" s="9">
        <f t="shared" si="23"/>
        <v>-0.0027940571069037337</v>
      </c>
      <c r="L126" s="9">
        <f t="shared" si="24"/>
        <v>0.0012739702045713283</v>
      </c>
      <c r="M126" s="9">
        <f t="shared" si="25"/>
        <v>-0.0317228768901452</v>
      </c>
      <c r="N126" s="9">
        <f t="shared" si="26"/>
        <v>-0.013802054973252015</v>
      </c>
      <c r="O126" s="9">
        <f t="shared" si="27"/>
        <v>9.429755198774774E-06</v>
      </c>
      <c r="P126" s="10">
        <f t="shared" si="28"/>
        <v>0.0011968376396719789</v>
      </c>
      <c r="Q126" s="8">
        <f t="shared" si="29"/>
        <v>-50.25499581621237</v>
      </c>
      <c r="R126" s="8">
        <f t="shared" si="30"/>
        <v>-29.21964761019727</v>
      </c>
      <c r="S126" s="8">
        <f t="shared" si="31"/>
        <v>-21.0353482060151</v>
      </c>
      <c r="T126" s="8">
        <f t="shared" si="32"/>
        <v>-0.1288514661754867</v>
      </c>
      <c r="V126" s="21">
        <f>T126-riaa_curve!G110</f>
        <v>-0.000618114325135366</v>
      </c>
      <c r="W126" s="21">
        <f>T126-riaa_curve!H110</f>
        <v>-0.0007583911262152299</v>
      </c>
    </row>
    <row r="127" spans="9:23" ht="12.75">
      <c r="I127" s="13">
        <v>1114.30472101904</v>
      </c>
      <c r="J127" s="10">
        <f t="shared" si="22"/>
        <v>7001.38305082768</v>
      </c>
      <c r="K127" s="9">
        <f t="shared" si="23"/>
        <v>-0.003209528802468109</v>
      </c>
      <c r="L127" s="9">
        <f t="shared" si="24"/>
        <v>0.0013562086147190264</v>
      </c>
      <c r="M127" s="9">
        <f t="shared" si="25"/>
        <v>-0.03644001649948342</v>
      </c>
      <c r="N127" s="9">
        <f t="shared" si="26"/>
        <v>-0.01722992285827841</v>
      </c>
      <c r="O127" s="9">
        <f t="shared" si="27"/>
        <v>1.2140376940510474E-05</v>
      </c>
      <c r="P127" s="10">
        <f t="shared" si="28"/>
        <v>0.0016247450441848484</v>
      </c>
      <c r="Q127" s="8">
        <f t="shared" si="29"/>
        <v>-49.15767828858594</v>
      </c>
      <c r="R127" s="8">
        <f t="shared" si="30"/>
        <v>-27.892147790486625</v>
      </c>
      <c r="S127" s="8">
        <f t="shared" si="31"/>
        <v>-21.265530498099317</v>
      </c>
      <c r="T127" s="8">
        <f t="shared" si="32"/>
        <v>-0.3590337582597023</v>
      </c>
      <c r="V127" s="21">
        <f>T127-riaa_curve!G111</f>
        <v>-0.001780554465153017</v>
      </c>
      <c r="W127" s="21">
        <f>T127-riaa_curve!H111</f>
        <v>-0.0021993825045818483</v>
      </c>
    </row>
    <row r="128" spans="9:23" ht="12.75">
      <c r="I128" s="13">
        <v>1194.28222916711</v>
      </c>
      <c r="J128" s="10">
        <f t="shared" si="22"/>
        <v>7503.896554928469</v>
      </c>
      <c r="K128" s="9">
        <f t="shared" si="23"/>
        <v>-0.003686780455710693</v>
      </c>
      <c r="L128" s="9">
        <f t="shared" si="24"/>
        <v>0.0014422232992396988</v>
      </c>
      <c r="M128" s="9">
        <f t="shared" si="25"/>
        <v>-0.041858587009021106</v>
      </c>
      <c r="N128" s="9">
        <f t="shared" si="26"/>
        <v>-0.021467176628254807</v>
      </c>
      <c r="O128" s="9">
        <f t="shared" si="27"/>
        <v>1.5672358173480185E-05</v>
      </c>
      <c r="P128" s="10">
        <f t="shared" si="28"/>
        <v>0.00221298097878048</v>
      </c>
      <c r="Q128" s="8">
        <f t="shared" si="29"/>
        <v>-48.048656516056816</v>
      </c>
      <c r="R128" s="8">
        <f t="shared" si="30"/>
        <v>-26.550223189449422</v>
      </c>
      <c r="S128" s="8">
        <f t="shared" si="31"/>
        <v>-21.498433326607394</v>
      </c>
      <c r="T128" s="8">
        <f t="shared" si="32"/>
        <v>-0.5919365867677797</v>
      </c>
      <c r="V128" s="21">
        <f>T128-riaa_curve!G112</f>
        <v>-0.0030173337743484296</v>
      </c>
      <c r="W128" s="21">
        <f>T128-riaa_curve!H112</f>
        <v>-0.003756111116192784</v>
      </c>
    </row>
    <row r="129" spans="9:23" ht="12.75">
      <c r="I129" s="13">
        <v>1280</v>
      </c>
      <c r="J129" s="10">
        <f t="shared" si="22"/>
        <v>8042.47719318987</v>
      </c>
      <c r="K129" s="9">
        <f t="shared" si="23"/>
        <v>-0.004234998644710116</v>
      </c>
      <c r="L129" s="9">
        <f t="shared" si="24"/>
        <v>0.0015317938210513836</v>
      </c>
      <c r="M129" s="9">
        <f t="shared" si="25"/>
        <v>-0.04808289003976308</v>
      </c>
      <c r="N129" s="9">
        <f t="shared" si="26"/>
        <v>-0.026702125288402757</v>
      </c>
      <c r="O129" s="9">
        <f t="shared" si="27"/>
        <v>2.028160583090772E-05</v>
      </c>
      <c r="P129" s="10">
        <f t="shared" si="28"/>
        <v>0.0030249678094935056</v>
      </c>
      <c r="Q129" s="8">
        <f t="shared" si="29"/>
        <v>-46.928976619672866</v>
      </c>
      <c r="R129" s="8">
        <f t="shared" si="30"/>
        <v>-25.192792425763805</v>
      </c>
      <c r="S129" s="8">
        <f t="shared" si="31"/>
        <v>-21.73618419390906</v>
      </c>
      <c r="T129" s="8">
        <f t="shared" si="32"/>
        <v>-0.8296874540694468</v>
      </c>
      <c r="V129" s="21">
        <f>T129-riaa_curve!G113</f>
        <v>-0.004320446410531531</v>
      </c>
      <c r="W129" s="21">
        <f>T129-riaa_curve!H113</f>
        <v>-0.005426719903052657</v>
      </c>
    </row>
    <row r="130" spans="9:23" ht="12.75">
      <c r="I130" s="13">
        <v>1371.87003204645</v>
      </c>
      <c r="J130" s="10">
        <f t="shared" si="22"/>
        <v>8619.713628714242</v>
      </c>
      <c r="K130" s="9">
        <f t="shared" si="23"/>
        <v>-0.004864735976593145</v>
      </c>
      <c r="L130" s="9">
        <f t="shared" si="24"/>
        <v>0.001624570320215838</v>
      </c>
      <c r="M130" s="9">
        <f t="shared" si="25"/>
        <v>-0.055232736692178735</v>
      </c>
      <c r="N130" s="9">
        <f t="shared" si="26"/>
        <v>-0.033166692267740536</v>
      </c>
      <c r="O130" s="9">
        <f t="shared" si="27"/>
        <v>2.6304884847285853E-05</v>
      </c>
      <c r="P130" s="10">
        <f t="shared" si="28"/>
        <v>0.004150684678490547</v>
      </c>
      <c r="Q130" s="8">
        <f t="shared" si="29"/>
        <v>-45.799635950376185</v>
      </c>
      <c r="R130" s="8">
        <f t="shared" si="30"/>
        <v>-23.818802580917545</v>
      </c>
      <c r="S130" s="8">
        <f t="shared" si="31"/>
        <v>-21.98083336945864</v>
      </c>
      <c r="T130" s="8">
        <f t="shared" si="32"/>
        <v>-1.074336629619026</v>
      </c>
      <c r="V130" s="21">
        <f>T130-riaa_curve!G114</f>
        <v>-0.00567832524970413</v>
      </c>
      <c r="W130" s="21">
        <f>T130-riaa_curve!H114</f>
        <v>-0.007206702592394976</v>
      </c>
    </row>
    <row r="131" spans="9:23" ht="12.75">
      <c r="I131" s="13">
        <v>1470.3338943962</v>
      </c>
      <c r="J131" s="10">
        <f t="shared" si="22"/>
        <v>9238.380321918346</v>
      </c>
      <c r="K131" s="9">
        <f t="shared" si="23"/>
        <v>-0.005588114213807448</v>
      </c>
      <c r="L131" s="9">
        <f t="shared" si="24"/>
        <v>0.0017200379665007822</v>
      </c>
      <c r="M131" s="9">
        <f t="shared" si="25"/>
        <v>-0.06344575378029019</v>
      </c>
      <c r="N131" s="9">
        <f t="shared" si="26"/>
        <v>-0.0411465029547349</v>
      </c>
      <c r="O131" s="9">
        <f t="shared" si="27"/>
        <v>3.4185551072760977E-05</v>
      </c>
      <c r="P131" s="10">
        <f t="shared" si="28"/>
        <v>0.005718398378153214</v>
      </c>
      <c r="Q131" s="8">
        <f t="shared" si="29"/>
        <v>-44.66157414859154</v>
      </c>
      <c r="R131" s="8">
        <f t="shared" si="30"/>
        <v>-22.427255923486264</v>
      </c>
      <c r="S131" s="8">
        <f t="shared" si="31"/>
        <v>-22.234318225105277</v>
      </c>
      <c r="T131" s="8">
        <f t="shared" si="32"/>
        <v>-1.3278214852656625</v>
      </c>
      <c r="V131" s="21">
        <f>T131-riaa_curve!G115</f>
        <v>-0.007075484331398485</v>
      </c>
      <c r="W131" s="21">
        <f>T131-riaa_curve!H115</f>
        <v>-0.009088681048076808</v>
      </c>
    </row>
    <row r="132" spans="9:23" ht="12.75">
      <c r="I132" s="13">
        <v>1575.86484908149</v>
      </c>
      <c r="J132" s="10">
        <f t="shared" si="22"/>
        <v>9901.450865849594</v>
      </c>
      <c r="K132" s="9">
        <f t="shared" si="23"/>
        <v>-0.006419057604936183</v>
      </c>
      <c r="L132" s="9">
        <f t="shared" si="24"/>
        <v>0.0018174727911173646</v>
      </c>
      <c r="M132" s="9">
        <f t="shared" si="25"/>
        <v>-0.07288003299896646</v>
      </c>
      <c r="N132" s="9">
        <f t="shared" si="26"/>
        <v>-0.050993304363004296</v>
      </c>
      <c r="O132" s="9">
        <f t="shared" si="27"/>
        <v>4.4507507881941E-05</v>
      </c>
      <c r="P132" s="10">
        <f t="shared" si="28"/>
        <v>0.007911816299788432</v>
      </c>
      <c r="Q132" s="8">
        <f t="shared" si="29"/>
        <v>-43.515667225771004</v>
      </c>
      <c r="R132" s="8">
        <f t="shared" si="30"/>
        <v>-21.0172380494404</v>
      </c>
      <c r="S132" s="8">
        <f t="shared" si="31"/>
        <v>-22.498429176330603</v>
      </c>
      <c r="T132" s="8">
        <f t="shared" si="32"/>
        <v>-1.591932436490989</v>
      </c>
      <c r="V132" s="21">
        <f>T132-riaa_curve!G116</f>
        <v>-0.008492266609259502</v>
      </c>
      <c r="W132" s="21">
        <f>T132-riaa_curve!H116</f>
        <v>-0.011062307759097223</v>
      </c>
    </row>
    <row r="133" spans="9:23" ht="12.75">
      <c r="I133" s="13">
        <v>1688.9701257893</v>
      </c>
      <c r="J133" s="10">
        <f t="shared" si="22"/>
        <v>10612.112278624587</v>
      </c>
      <c r="K133" s="9">
        <f t="shared" si="23"/>
        <v>-0.007373560911421387</v>
      </c>
      <c r="L133" s="9">
        <f t="shared" si="24"/>
        <v>0.0019158868759643853</v>
      </c>
      <c r="M133" s="9">
        <f t="shared" si="25"/>
        <v>-0.08371717401804223</v>
      </c>
      <c r="N133" s="9">
        <f t="shared" si="26"/>
        <v>-0.06314025601840047</v>
      </c>
      <c r="O133" s="9">
        <f t="shared" si="27"/>
        <v>5.804002303593396E-05</v>
      </c>
      <c r="P133" s="10">
        <f t="shared" si="28"/>
        <v>0.010995257155636321</v>
      </c>
      <c r="Q133" s="8">
        <f t="shared" si="29"/>
        <v>-42.36272423863919</v>
      </c>
      <c r="R133" s="8">
        <f t="shared" si="30"/>
        <v>-19.587946089618683</v>
      </c>
      <c r="S133" s="8">
        <f t="shared" si="31"/>
        <v>-22.774778149020506</v>
      </c>
      <c r="T133" s="8">
        <f t="shared" si="32"/>
        <v>-1.8682814091808915</v>
      </c>
      <c r="V133" s="21">
        <f>T133-riaa_curve!G117</f>
        <v>-0.00990472433909062</v>
      </c>
      <c r="W133" s="21">
        <f>T133-riaa_curve!H117</f>
        <v>-0.01311432367373655</v>
      </c>
    </row>
    <row r="134" spans="9:23" ht="12.75">
      <c r="I134" s="13">
        <v>1810.19335983756</v>
      </c>
      <c r="J134" s="10">
        <f t="shared" si="22"/>
        <v>11373.780321685406</v>
      </c>
      <c r="K134" s="9">
        <f t="shared" si="23"/>
        <v>-0.008469997289420215</v>
      </c>
      <c r="L134" s="9">
        <f t="shared" si="24"/>
        <v>0.002013960409330739</v>
      </c>
      <c r="M134" s="9">
        <f t="shared" si="25"/>
        <v>-0.09616578007952598</v>
      </c>
      <c r="N134" s="9">
        <f t="shared" si="26"/>
        <v>-0.07812075576905711</v>
      </c>
      <c r="O134" s="9">
        <f t="shared" si="27"/>
        <v>7.579689061313743E-05</v>
      </c>
      <c r="P134" s="10">
        <f t="shared" si="28"/>
        <v>0.015350709740232425</v>
      </c>
      <c r="Q134" s="8">
        <f t="shared" si="29"/>
        <v>-41.20348609899007</v>
      </c>
      <c r="R134" s="8">
        <f t="shared" si="30"/>
        <v>-18.138715401124777</v>
      </c>
      <c r="S134" s="8">
        <f t="shared" si="31"/>
        <v>-23.064770697865292</v>
      </c>
      <c r="T134" s="8">
        <f t="shared" si="32"/>
        <v>-2.158273958025678</v>
      </c>
      <c r="V134" s="21">
        <f>T134-riaa_curve!G118</f>
        <v>-0.011284648050970958</v>
      </c>
      <c r="W134" s="21">
        <f>T134-riaa_curve!H118</f>
        <v>-0.01522879060682314</v>
      </c>
    </row>
    <row r="135" spans="9:23" ht="12.75">
      <c r="I135" s="13">
        <v>1940.1172051333</v>
      </c>
      <c r="J135" s="10">
        <f t="shared" si="22"/>
        <v>12190.115917499874</v>
      </c>
      <c r="K135" s="9">
        <f t="shared" si="23"/>
        <v>-0.00972947195318627</v>
      </c>
      <c r="L135" s="9">
        <f t="shared" si="24"/>
        <v>0.0021099575389838137</v>
      </c>
      <c r="M135" s="9">
        <f t="shared" si="25"/>
        <v>-0.11046547338435725</v>
      </c>
      <c r="N135" s="9">
        <f t="shared" si="26"/>
        <v>-0.09659161763340478</v>
      </c>
      <c r="O135" s="9">
        <f t="shared" si="27"/>
        <v>9.911454530415288E-05</v>
      </c>
      <c r="P135" s="10">
        <f t="shared" si="28"/>
        <v>0.02153256140706801</v>
      </c>
      <c r="Q135" s="8">
        <f t="shared" si="29"/>
        <v>-40.03862607050599</v>
      </c>
      <c r="R135" s="8">
        <f t="shared" si="30"/>
        <v>-16.669043055787505</v>
      </c>
      <c r="S135" s="8">
        <f t="shared" si="31"/>
        <v>-23.369583014718486</v>
      </c>
      <c r="T135" s="8">
        <f t="shared" si="32"/>
        <v>-2.463086274878872</v>
      </c>
      <c r="V135" s="21">
        <f>T135-riaa_curve!G119</f>
        <v>-0.012599743732696567</v>
      </c>
      <c r="W135" s="21">
        <f>T135-riaa_curve!H119</f>
        <v>-0.017387501585847787</v>
      </c>
    </row>
    <row r="136" spans="9:23" ht="12.75">
      <c r="I136" s="13">
        <v>2079.36613467196</v>
      </c>
      <c r="J136" s="10">
        <f t="shared" si="22"/>
        <v>13065.042745617668</v>
      </c>
      <c r="K136" s="9">
        <f t="shared" si="23"/>
        <v>-0.011176228427614935</v>
      </c>
      <c r="L136" s="9">
        <f t="shared" si="24"/>
        <v>0.0022016222417808344</v>
      </c>
      <c r="M136" s="9">
        <f t="shared" si="25"/>
        <v>-0.1268915075605808</v>
      </c>
      <c r="N136" s="9">
        <f t="shared" si="26"/>
        <v>-0.11936160767542506</v>
      </c>
      <c r="O136" s="9">
        <f t="shared" si="27"/>
        <v>0.00012975522236173225</v>
      </c>
      <c r="P136" s="10">
        <f t="shared" si="28"/>
        <v>0.03034864807785902</v>
      </c>
      <c r="Q136" s="8">
        <f t="shared" si="29"/>
        <v>-38.86875153731987</v>
      </c>
      <c r="R136" s="8">
        <f t="shared" si="30"/>
        <v>-15.178606504010103</v>
      </c>
      <c r="S136" s="8">
        <f t="shared" si="31"/>
        <v>-23.69014503330977</v>
      </c>
      <c r="T136" s="8">
        <f t="shared" si="32"/>
        <v>-2.7836482934701543</v>
      </c>
      <c r="V136" s="21">
        <f>T136-riaa_curve!G120</f>
        <v>-0.013813938370521583</v>
      </c>
      <c r="W136" s="21">
        <f>T136-riaa_curve!H120</f>
        <v>-0.019570553536222945</v>
      </c>
    </row>
    <row r="137" spans="9:23" ht="12.75">
      <c r="I137" s="13">
        <v>2228.60944203807</v>
      </c>
      <c r="J137" s="10">
        <f t="shared" si="22"/>
        <v>14002.766101655297</v>
      </c>
      <c r="K137" s="9">
        <f t="shared" si="23"/>
        <v>-0.012838115209872322</v>
      </c>
      <c r="L137" s="9">
        <f t="shared" si="24"/>
        <v>0.002286049552450687</v>
      </c>
      <c r="M137" s="9">
        <f t="shared" si="25"/>
        <v>-0.1457600659979324</v>
      </c>
      <c r="N137" s="9">
        <f t="shared" si="26"/>
        <v>-0.1474265764280256</v>
      </c>
      <c r="O137" s="9">
        <f t="shared" si="27"/>
        <v>0.00017004322469821504</v>
      </c>
      <c r="P137" s="10">
        <f t="shared" si="28"/>
        <v>0.04298059227701008</v>
      </c>
      <c r="Q137" s="8">
        <f t="shared" si="29"/>
        <v>-37.69440667670092</v>
      </c>
      <c r="R137" s="8">
        <f t="shared" si="30"/>
        <v>-13.667276041804307</v>
      </c>
      <c r="S137" s="8">
        <f t="shared" si="31"/>
        <v>-24.027130634896615</v>
      </c>
      <c r="T137" s="8">
        <f t="shared" si="32"/>
        <v>-3.1206338950570007</v>
      </c>
      <c r="V137" s="21">
        <f>T137-riaa_curve!G121</f>
        <v>-0.014887774144721533</v>
      </c>
      <c r="W137" s="21">
        <f>T137-riaa_curve!H121</f>
        <v>-0.021757047437802157</v>
      </c>
    </row>
    <row r="138" spans="9:23" ht="12.75">
      <c r="I138" s="13">
        <v>2388.56445833422</v>
      </c>
      <c r="J138" s="10">
        <f t="shared" si="22"/>
        <v>15007.793109856939</v>
      </c>
      <c r="K138" s="9">
        <f t="shared" si="23"/>
        <v>-0.014747121822842772</v>
      </c>
      <c r="L138" s="9">
        <f t="shared" si="24"/>
        <v>0.002359526414925565</v>
      </c>
      <c r="M138" s="9">
        <f t="shared" si="25"/>
        <v>-0.16743434803608442</v>
      </c>
      <c r="N138" s="9">
        <f t="shared" si="26"/>
        <v>-0.1820127126657748</v>
      </c>
      <c r="O138" s="9">
        <f t="shared" si="27"/>
        <v>0.00022304496696049699</v>
      </c>
      <c r="P138" s="10">
        <f t="shared" si="28"/>
        <v>0.06116288847422254</v>
      </c>
      <c r="Q138" s="8">
        <f t="shared" si="29"/>
        <v>-36.51607572224852</v>
      </c>
      <c r="R138" s="8">
        <f t="shared" si="30"/>
        <v>-12.135120128150763</v>
      </c>
      <c r="S138" s="8">
        <f t="shared" si="31"/>
        <v>-24.38095559409776</v>
      </c>
      <c r="T138" s="8">
        <f t="shared" si="32"/>
        <v>-3.4744588542581454</v>
      </c>
      <c r="V138" s="21">
        <f>T138-riaa_curve!G122</f>
        <v>-0.015778834675391096</v>
      </c>
      <c r="W138" s="21">
        <f>T138-riaa_curve!H122</f>
        <v>-0.02392586483232151</v>
      </c>
    </row>
    <row r="139" spans="9:23" ht="12.75">
      <c r="I139" s="13">
        <v>2559.99999999999</v>
      </c>
      <c r="J139" s="10">
        <f t="shared" si="22"/>
        <v>16084.954386379677</v>
      </c>
      <c r="K139" s="9">
        <f t="shared" si="23"/>
        <v>-0.01693999457884033</v>
      </c>
      <c r="L139" s="9">
        <f t="shared" si="24"/>
        <v>0.00241733509066847</v>
      </c>
      <c r="M139" s="9">
        <f t="shared" si="25"/>
        <v>-0.19233156015905079</v>
      </c>
      <c r="N139" s="9">
        <f t="shared" si="26"/>
        <v>-0.22462979578069747</v>
      </c>
      <c r="O139" s="9">
        <f t="shared" si="27"/>
        <v>0.0002928069252717169</v>
      </c>
      <c r="P139" s="10">
        <f t="shared" si="28"/>
        <v>0.08744997418569242</v>
      </c>
      <c r="Q139" s="8">
        <f t="shared" si="29"/>
        <v>-35.334186558522894</v>
      </c>
      <c r="R139" s="8">
        <f t="shared" si="30"/>
        <v>-10.58240314384424</v>
      </c>
      <c r="S139" s="8">
        <f t="shared" si="31"/>
        <v>-24.751783414678656</v>
      </c>
      <c r="T139" s="8">
        <f t="shared" si="32"/>
        <v>-3.8452866748390413</v>
      </c>
      <c r="V139" s="21">
        <f>T139-riaa_curve!G123</f>
        <v>-0.016442135810624592</v>
      </c>
      <c r="W139" s="21">
        <f>T139-riaa_curve!H123</f>
        <v>-0.02605645938322354</v>
      </c>
    </row>
    <row r="140" spans="9:23" ht="12.75">
      <c r="I140" s="13">
        <v>2743.7400640929</v>
      </c>
      <c r="J140" s="10">
        <f t="shared" si="22"/>
        <v>17239.427257428484</v>
      </c>
      <c r="K140" s="9">
        <f t="shared" si="23"/>
        <v>-0.01945894390637258</v>
      </c>
      <c r="L140" s="9">
        <f t="shared" si="24"/>
        <v>0.002453510422123456</v>
      </c>
      <c r="M140" s="9">
        <f t="shared" si="25"/>
        <v>-0.22093094676871494</v>
      </c>
      <c r="N140" s="9">
        <f t="shared" si="26"/>
        <v>-0.277136757935191</v>
      </c>
      <c r="O140" s="9">
        <f t="shared" si="27"/>
        <v>0.000384670211342823</v>
      </c>
      <c r="P140" s="10">
        <f t="shared" si="28"/>
        <v>0.12561526583894939</v>
      </c>
      <c r="Q140" s="8">
        <f t="shared" si="29"/>
        <v>-34.14911443925421</v>
      </c>
      <c r="R140" s="8">
        <f t="shared" si="30"/>
        <v>-9.009575782203047</v>
      </c>
      <c r="S140" s="8">
        <f t="shared" si="31"/>
        <v>-25.139538657051165</v>
      </c>
      <c r="T140" s="8">
        <f t="shared" si="32"/>
        <v>-4.233041917211551</v>
      </c>
      <c r="V140" s="21">
        <f>T140-riaa_curve!G124</f>
        <v>-0.016830410565574994</v>
      </c>
      <c r="W140" s="21">
        <f>T140-riaa_curve!H124</f>
        <v>-0.028129600109970454</v>
      </c>
    </row>
    <row r="141" spans="9:23" ht="12.75">
      <c r="I141" s="13">
        <v>2940.6677887924</v>
      </c>
      <c r="J141" s="10">
        <f t="shared" si="22"/>
        <v>18476.760643836693</v>
      </c>
      <c r="K141" s="9">
        <f t="shared" si="23"/>
        <v>-0.022352456855229793</v>
      </c>
      <c r="L141" s="9">
        <f t="shared" si="24"/>
        <v>0.002460540234643</v>
      </c>
      <c r="M141" s="9">
        <f t="shared" si="25"/>
        <v>-0.25378301512116075</v>
      </c>
      <c r="N141" s="9">
        <f t="shared" si="26"/>
        <v>-0.3418224013847856</v>
      </c>
      <c r="O141" s="9">
        <f t="shared" si="27"/>
        <v>0.0005056865857112063</v>
      </c>
      <c r="P141" s="10">
        <f t="shared" si="28"/>
        <v>0.18124837285244877</v>
      </c>
      <c r="Q141" s="8">
        <f t="shared" si="29"/>
        <v>-32.9611856669348</v>
      </c>
      <c r="R141" s="8">
        <f t="shared" si="30"/>
        <v>-7.417258835948983</v>
      </c>
      <c r="S141" s="8">
        <f t="shared" si="31"/>
        <v>-25.543926830985818</v>
      </c>
      <c r="T141" s="8">
        <f t="shared" si="32"/>
        <v>-4.637430091146204</v>
      </c>
      <c r="V141" s="21">
        <f>T141-riaa_curve!G125</f>
        <v>-0.016894223369583017</v>
      </c>
      <c r="W141" s="21">
        <f>T141-riaa_curve!H125</f>
        <v>-0.030128009354353225</v>
      </c>
    </row>
    <row r="142" spans="9:23" ht="12.75">
      <c r="I142" s="13">
        <v>3151.72969816298</v>
      </c>
      <c r="J142" s="10">
        <f t="shared" si="22"/>
        <v>19802.90173169919</v>
      </c>
      <c r="K142" s="9">
        <f t="shared" si="23"/>
        <v>-0.025676230419744733</v>
      </c>
      <c r="L142" s="9">
        <f t="shared" si="24"/>
        <v>0.0024289956795286666</v>
      </c>
      <c r="M142" s="9">
        <f t="shared" si="25"/>
        <v>-0.29152013199586585</v>
      </c>
      <c r="N142" s="9">
        <f t="shared" si="26"/>
        <v>-0.42150477406422837</v>
      </c>
      <c r="O142" s="9">
        <f t="shared" si="27"/>
        <v>0.0006651688285789938</v>
      </c>
      <c r="P142" s="10">
        <f t="shared" si="28"/>
        <v>0.26265026191782326</v>
      </c>
      <c r="Q142" s="8">
        <f t="shared" si="29"/>
        <v>-31.770681110660675</v>
      </c>
      <c r="R142" s="8">
        <f t="shared" si="30"/>
        <v>-5.806221617772684</v>
      </c>
      <c r="S142" s="8">
        <f t="shared" si="31"/>
        <v>-25.96445949288799</v>
      </c>
      <c r="T142" s="8">
        <f t="shared" si="32"/>
        <v>-5.0579627530483755</v>
      </c>
      <c r="V142" s="21">
        <f>T142-riaa_curve!G126</f>
        <v>-0.016581861465173375</v>
      </c>
      <c r="W142" s="21">
        <f>T142-riaa_curve!H126</f>
        <v>-0.03203685219351726</v>
      </c>
    </row>
    <row r="143" spans="9:23" ht="12.75">
      <c r="I143" s="13">
        <v>3377.9402515786</v>
      </c>
      <c r="J143" s="10">
        <f t="shared" si="22"/>
        <v>21224.224557249174</v>
      </c>
      <c r="K143" s="9">
        <f t="shared" si="23"/>
        <v>-0.029494243645685547</v>
      </c>
      <c r="L143" s="9">
        <f t="shared" si="24"/>
        <v>0.002347075266438361</v>
      </c>
      <c r="M143" s="9">
        <f t="shared" si="25"/>
        <v>-0.3348686960721689</v>
      </c>
      <c r="N143" s="9">
        <f t="shared" si="26"/>
        <v>-0.5196535162551663</v>
      </c>
      <c r="O143" s="9">
        <f t="shared" si="27"/>
        <v>0.0008754191705373889</v>
      </c>
      <c r="P143" s="10">
        <f t="shared" si="28"/>
        <v>0.382176820565433</v>
      </c>
      <c r="Q143" s="8">
        <f t="shared" si="29"/>
        <v>-30.57783947136382</v>
      </c>
      <c r="R143" s="8">
        <f t="shared" si="30"/>
        <v>-4.177356569089442</v>
      </c>
      <c r="S143" s="8">
        <f t="shared" si="31"/>
        <v>-26.400482902274376</v>
      </c>
      <c r="T143" s="8">
        <f t="shared" si="32"/>
        <v>-5.493986162434762</v>
      </c>
      <c r="V143" s="21">
        <f>T143-riaa_curve!G127</f>
        <v>-0.015838968475769377</v>
      </c>
      <c r="W143" s="21">
        <f>T143-riaa_curve!H127</f>
        <v>-0.03384405223871312</v>
      </c>
    </row>
    <row r="144" spans="9:23" ht="12.75">
      <c r="I144" s="13">
        <v>3620.38671967511</v>
      </c>
      <c r="J144" s="10">
        <f t="shared" si="22"/>
        <v>22747.56064337075</v>
      </c>
      <c r="K144" s="9">
        <f t="shared" si="23"/>
        <v>-0.03387998915768068</v>
      </c>
      <c r="L144" s="9">
        <f t="shared" si="24"/>
        <v>0.002200042572748298</v>
      </c>
      <c r="M144" s="9">
        <f t="shared" si="25"/>
        <v>-0.3846631203181018</v>
      </c>
      <c r="N144" s="9">
        <f t="shared" si="26"/>
        <v>-0.6405404880422582</v>
      </c>
      <c r="O144" s="9">
        <f t="shared" si="27"/>
        <v>0.0011526938526464656</v>
      </c>
      <c r="P144" s="10">
        <f t="shared" si="28"/>
        <v>0.5582578329542727</v>
      </c>
      <c r="Q144" s="8">
        <f t="shared" si="29"/>
        <v>-29.382860229404212</v>
      </c>
      <c r="R144" s="8">
        <f t="shared" si="30"/>
        <v>-2.5316517459785537</v>
      </c>
      <c r="S144" s="8">
        <f t="shared" si="31"/>
        <v>-26.85120848342566</v>
      </c>
      <c r="T144" s="8">
        <f t="shared" si="32"/>
        <v>-5.944711743586044</v>
      </c>
      <c r="V144" s="21">
        <f>T144-riaa_curve!G128</f>
        <v>-0.014607903527807053</v>
      </c>
      <c r="W144" s="21">
        <f>T144-riaa_curve!H128</f>
        <v>-0.035540428253359124</v>
      </c>
    </row>
    <row r="145" spans="9:23" ht="12.75">
      <c r="I145" s="13">
        <v>3880.23441026661</v>
      </c>
      <c r="J145" s="10">
        <f aca="true" t="shared" si="33" ref="J145:J176">(2*PI()*I145)</f>
        <v>24380.231834999813</v>
      </c>
      <c r="K145" s="9">
        <f aca="true" t="shared" si="34" ref="K145:K176">-J145*J145*$F$4*($F$6*$F$12+$F$5*$F$10)</f>
        <v>-0.03891788781274529</v>
      </c>
      <c r="L145" s="9">
        <f aca="true" t="shared" si="35" ref="L145:L176">J145*$F$4*(1-J145*J145*$F$5*$F$6*$F$10*$F$12)</f>
        <v>0.001969532987236919</v>
      </c>
      <c r="M145" s="9">
        <f aca="true" t="shared" si="36" ref="M145:M176">-J145*J145*(($F$5*$F$6*($F$10+$F$11+$F$12))+$F$4*($F$5*$F$10+$F$6*$F$11+$F$6*$F$12+$F$5*$F$9+$F$6*$F$9))</f>
        <v>-0.4418618935374314</v>
      </c>
      <c r="N145" s="9">
        <f aca="true" t="shared" si="37" ref="N145:N176">J145*($F$4-$F$4*J145*J145*$F$5*$F$6*($F$10*$F$12+$F$10*$F$11+$F$9*$F$10+$F$9*$F$11+$F$9*$F$12)+$F$5+$F$6)</f>
        <v>-0.7894252145785534</v>
      </c>
      <c r="O145" s="9">
        <f aca="true" t="shared" si="38" ref="O145:O176">K145*K145+L145*L145</f>
        <v>0.001518481051993243</v>
      </c>
      <c r="P145" s="10">
        <f aca="true" t="shared" si="39" ref="P145:P176">M145*M145+N145*N145</f>
        <v>0.8184341023728794</v>
      </c>
      <c r="Q145" s="8">
        <f aca="true" t="shared" si="40" ref="Q145:Q176">10*LOG10(O145)</f>
        <v>-28.18590622952907</v>
      </c>
      <c r="R145" s="8">
        <f aca="true" t="shared" si="41" ref="R145:R176">10*LOG10(P145)</f>
        <v>-0.8701628281031839</v>
      </c>
      <c r="S145" s="8">
        <f aca="true" t="shared" si="42" ref="S145:S176">Q145-R145</f>
        <v>-27.315743401425888</v>
      </c>
      <c r="T145" s="8">
        <f aca="true" t="shared" si="43" ref="T145:T176">S145-$S$45</f>
        <v>-6.409246661586273</v>
      </c>
      <c r="V145" s="21">
        <f>T145-riaa_curve!G129</f>
        <v>-0.012826825757436211</v>
      </c>
      <c r="W145" s="21">
        <f>T145-riaa_curve!H129</f>
        <v>-0.0371196636545541</v>
      </c>
    </row>
    <row r="146" spans="9:23" ht="12.75">
      <c r="I146" s="13">
        <v>4158.73226934392</v>
      </c>
      <c r="J146" s="10">
        <f t="shared" si="33"/>
        <v>26130.085491235335</v>
      </c>
      <c r="K146" s="9">
        <f t="shared" si="34"/>
        <v>-0.04470491371045974</v>
      </c>
      <c r="L146" s="9">
        <f t="shared" si="35"/>
        <v>0.0016326991446670893</v>
      </c>
      <c r="M146" s="9">
        <f t="shared" si="36"/>
        <v>-0.5075660302423232</v>
      </c>
      <c r="N146" s="9">
        <f t="shared" si="37"/>
        <v>-0.9727831971822186</v>
      </c>
      <c r="O146" s="9">
        <f t="shared" si="38"/>
        <v>0.0020011950163566477</v>
      </c>
      <c r="P146" s="10">
        <f t="shared" si="39"/>
        <v>1.2039304237760102</v>
      </c>
      <c r="Q146" s="8">
        <f t="shared" si="40"/>
        <v>-26.987105873254578</v>
      </c>
      <c r="R146" s="8">
        <f t="shared" si="41"/>
        <v>0.8060138937757401</v>
      </c>
      <c r="S146" s="8">
        <f t="shared" si="42"/>
        <v>-27.79311976703032</v>
      </c>
      <c r="T146" s="8">
        <f t="shared" si="43"/>
        <v>-6.886623027190705</v>
      </c>
      <c r="V146" s="21">
        <f>T146-riaa_curve!G130</f>
        <v>-0.01042851626123209</v>
      </c>
      <c r="W146" s="21">
        <f>T146-riaa_curve!H130</f>
        <v>-0.038578134415256926</v>
      </c>
    </row>
    <row r="147" spans="9:23" ht="12.75">
      <c r="I147" s="13">
        <v>4457.21888407614</v>
      </c>
      <c r="J147" s="10">
        <f t="shared" si="33"/>
        <v>28005.532203310595</v>
      </c>
      <c r="K147" s="9">
        <f t="shared" si="34"/>
        <v>-0.051352460839489286</v>
      </c>
      <c r="L147" s="9">
        <f t="shared" si="35"/>
        <v>0.0011611576890025355</v>
      </c>
      <c r="M147" s="9">
        <f t="shared" si="36"/>
        <v>-0.5830402639917296</v>
      </c>
      <c r="N147" s="9">
        <f t="shared" si="37"/>
        <v>-1.1985869985478055</v>
      </c>
      <c r="O147" s="9">
        <f t="shared" si="38"/>
        <v>0.0026384235214500103</v>
      </c>
      <c r="P147" s="10">
        <f t="shared" si="39"/>
        <v>1.776546742523383</v>
      </c>
      <c r="Q147" s="8">
        <f t="shared" si="40"/>
        <v>-25.78655489962742</v>
      </c>
      <c r="R147" s="8">
        <f t="shared" si="41"/>
        <v>2.4957663864939255</v>
      </c>
      <c r="S147" s="8">
        <f t="shared" si="42"/>
        <v>-28.282321286121345</v>
      </c>
      <c r="T147" s="8">
        <f t="shared" si="43"/>
        <v>-7.375824546281731</v>
      </c>
      <c r="V147" s="21">
        <f>T147-riaa_curve!G131</f>
        <v>-0.007338956440907651</v>
      </c>
      <c r="W147" s="21">
        <f>T147-riaa_curve!H131</f>
        <v>-0.03991462900208731</v>
      </c>
    </row>
    <row r="148" spans="9:23" ht="12.75">
      <c r="I148" s="13">
        <v>4777.12891666844</v>
      </c>
      <c r="J148" s="10">
        <f t="shared" si="33"/>
        <v>30015.586219713878</v>
      </c>
      <c r="K148" s="9">
        <f t="shared" si="34"/>
        <v>-0.058988487291371086</v>
      </c>
      <c r="L148" s="9">
        <f t="shared" si="35"/>
        <v>0.0005196913614204683</v>
      </c>
      <c r="M148" s="9">
        <f t="shared" si="36"/>
        <v>-0.6697373921443377</v>
      </c>
      <c r="N148" s="9">
        <f t="shared" si="37"/>
        <v>-1.4766523006056713</v>
      </c>
      <c r="O148" s="9">
        <f t="shared" si="38"/>
        <v>0.003479911712035383</v>
      </c>
      <c r="P148" s="10">
        <f t="shared" si="39"/>
        <v>2.6290501913203204</v>
      </c>
      <c r="Q148" s="8">
        <f t="shared" si="40"/>
        <v>-24.584317742896957</v>
      </c>
      <c r="R148" s="8">
        <f t="shared" si="41"/>
        <v>4.197988773217989</v>
      </c>
      <c r="S148" s="8">
        <f t="shared" si="42"/>
        <v>-28.782306516114947</v>
      </c>
      <c r="T148" s="8">
        <f t="shared" si="43"/>
        <v>-7.875809776275332</v>
      </c>
      <c r="V148" s="21">
        <f>T148-riaa_curve!G132</f>
        <v>-0.003475683283088671</v>
      </c>
      <c r="W148" s="21">
        <f>T148-riaa_curve!H132</f>
        <v>-0.04112999675276896</v>
      </c>
    </row>
    <row r="149" spans="9:23" ht="12.75">
      <c r="I149" s="13">
        <v>5119.99999999999</v>
      </c>
      <c r="J149" s="10">
        <f t="shared" si="33"/>
        <v>32169.90877275942</v>
      </c>
      <c r="K149" s="9">
        <f t="shared" si="34"/>
        <v>-0.0677599783153616</v>
      </c>
      <c r="L149" s="9">
        <f t="shared" si="35"/>
        <v>-0.0003353502301373831</v>
      </c>
      <c r="M149" s="9">
        <f t="shared" si="36"/>
        <v>-0.7693262406362062</v>
      </c>
      <c r="N149" s="9">
        <f t="shared" si="37"/>
        <v>-1.8190639531925477</v>
      </c>
      <c r="O149" s="9">
        <f t="shared" si="38"/>
        <v>0.004591527121075126</v>
      </c>
      <c r="P149" s="10">
        <f t="shared" si="39"/>
        <v>3.900856530335937</v>
      </c>
      <c r="Q149" s="8">
        <f t="shared" si="40"/>
        <v>-23.38042846063638</v>
      </c>
      <c r="R149" s="8">
        <f t="shared" si="41"/>
        <v>5.911599776818955</v>
      </c>
      <c r="S149" s="8">
        <f t="shared" si="42"/>
        <v>-29.292028237455334</v>
      </c>
      <c r="T149" s="8">
        <f t="shared" si="43"/>
        <v>-8.38553149761572</v>
      </c>
      <c r="V149" s="21">
        <f>T149-riaa_curve!G133</f>
        <v>0.0012540606584465763</v>
      </c>
      <c r="W149" s="21">
        <f>T149-riaa_curve!H133</f>
        <v>-0.042226759381563284</v>
      </c>
    </row>
    <row r="150" spans="9:23" ht="12.75">
      <c r="I150" s="13">
        <v>5487.48012818581</v>
      </c>
      <c r="J150" s="10">
        <f t="shared" si="33"/>
        <v>34478.854514857034</v>
      </c>
      <c r="K150" s="9">
        <f t="shared" si="34"/>
        <v>-0.07783577562549061</v>
      </c>
      <c r="L150" s="9">
        <f t="shared" si="35"/>
        <v>-0.0014580209022188888</v>
      </c>
      <c r="M150" s="9">
        <f t="shared" si="36"/>
        <v>-0.8837237870748631</v>
      </c>
      <c r="N150" s="9">
        <f t="shared" si="37"/>
        <v>-2.2407005030680742</v>
      </c>
      <c r="O150" s="9">
        <f t="shared" si="38"/>
        <v>0.006060533792173026</v>
      </c>
      <c r="P150" s="10">
        <f t="shared" si="39"/>
        <v>5.801706476291459</v>
      </c>
      <c r="Q150" s="8">
        <f t="shared" si="40"/>
        <v>-22.1748912289876</v>
      </c>
      <c r="R150" s="8">
        <f t="shared" si="41"/>
        <v>7.63555752913467</v>
      </c>
      <c r="S150" s="8">
        <f t="shared" si="42"/>
        <v>-29.81044875812227</v>
      </c>
      <c r="T150" s="8">
        <f t="shared" si="43"/>
        <v>-8.903952018282656</v>
      </c>
      <c r="V150" s="21">
        <f>T150-riaa_curve!G134</f>
        <v>0.00695537050480155</v>
      </c>
      <c r="W150" s="21">
        <f>T150-riaa_curve!H134</f>
        <v>-0.04320871544248561</v>
      </c>
    </row>
    <row r="151" spans="9:23" ht="12.75">
      <c r="I151" s="13">
        <v>5881.3355775848</v>
      </c>
      <c r="J151" s="10">
        <f t="shared" si="33"/>
        <v>36953.521287673386</v>
      </c>
      <c r="K151" s="9">
        <f t="shared" si="34"/>
        <v>-0.08940982742091917</v>
      </c>
      <c r="L151" s="9">
        <f t="shared" si="35"/>
        <v>-0.0029152051175825124</v>
      </c>
      <c r="M151" s="9">
        <f t="shared" si="36"/>
        <v>-1.015132060484643</v>
      </c>
      <c r="N151" s="9">
        <f t="shared" si="37"/>
        <v>-2.7598799665720977</v>
      </c>
      <c r="O151" s="9">
        <f t="shared" si="38"/>
        <v>0.008002615660316128</v>
      </c>
      <c r="P151" s="10">
        <f t="shared" si="39"/>
        <v>8.6474305301098</v>
      </c>
      <c r="Q151" s="8">
        <f t="shared" si="40"/>
        <v>-20.96768040361077</v>
      </c>
      <c r="R151" s="8">
        <f t="shared" si="41"/>
        <v>9.368870817576727</v>
      </c>
      <c r="S151" s="8">
        <f t="shared" si="42"/>
        <v>-30.3365512211875</v>
      </c>
      <c r="T151" s="8">
        <f t="shared" si="43"/>
        <v>-9.430054481347884</v>
      </c>
      <c r="V151" s="21">
        <f>T151-riaa_curve!G135</f>
        <v>0.013747910482827308</v>
      </c>
      <c r="W151" s="21">
        <f>T151-riaa_curve!H135</f>
        <v>-0.04408056102144542</v>
      </c>
    </row>
    <row r="152" spans="9:23" ht="12.75">
      <c r="I152" s="13">
        <v>6303.45939632595</v>
      </c>
      <c r="J152" s="10">
        <f t="shared" si="33"/>
        <v>39605.80346339832</v>
      </c>
      <c r="K152" s="9">
        <f t="shared" si="34"/>
        <v>-0.10270492167897863</v>
      </c>
      <c r="L152" s="9">
        <f t="shared" si="35"/>
        <v>-0.004789607862591122</v>
      </c>
      <c r="M152" s="9">
        <f t="shared" si="36"/>
        <v>-1.1660805279834598</v>
      </c>
      <c r="N152" s="9">
        <f t="shared" si="37"/>
        <v>-3.3991548708341996</v>
      </c>
      <c r="O152" s="9">
        <f t="shared" si="38"/>
        <v>0.010571241280562528</v>
      </c>
      <c r="P152" s="10">
        <f t="shared" si="39"/>
        <v>12.913997633658049</v>
      </c>
      <c r="Q152" s="8">
        <f t="shared" si="40"/>
        <v>-19.75874014618027</v>
      </c>
      <c r="R152" s="8">
        <f t="shared" si="41"/>
        <v>11.110607024903452</v>
      </c>
      <c r="S152" s="8">
        <f t="shared" si="42"/>
        <v>-30.86934717108372</v>
      </c>
      <c r="T152" s="8">
        <f t="shared" si="43"/>
        <v>-9.962850431244107</v>
      </c>
      <c r="V152" s="21">
        <f>T152-riaa_curve!G136</f>
        <v>0.021768335444591003</v>
      </c>
      <c r="W152" s="21">
        <f>T152-riaa_curve!H136</f>
        <v>-0.04484754293466864</v>
      </c>
    </row>
    <row r="153" spans="9:23" ht="12.75">
      <c r="I153" s="13">
        <v>6755.8805031572</v>
      </c>
      <c r="J153" s="10">
        <f t="shared" si="33"/>
        <v>42448.44911449835</v>
      </c>
      <c r="K153" s="9">
        <f t="shared" si="34"/>
        <v>-0.11797697458274219</v>
      </c>
      <c r="L153" s="9">
        <f t="shared" si="35"/>
        <v>-0.007183437351046555</v>
      </c>
      <c r="M153" s="9">
        <f t="shared" si="36"/>
        <v>-1.3394747842886756</v>
      </c>
      <c r="N153" s="9">
        <f t="shared" si="37"/>
        <v>-4.1862910662572554</v>
      </c>
      <c r="O153" s="9">
        <f t="shared" si="38"/>
        <v>0.013970168303873407</v>
      </c>
      <c r="P153" s="10">
        <f t="shared" si="39"/>
        <v>19.319225589170504</v>
      </c>
      <c r="Q153" s="8">
        <f t="shared" si="40"/>
        <v>-18.54798361745288</v>
      </c>
      <c r="R153" s="8">
        <f t="shared" si="41"/>
        <v>12.859897137414505</v>
      </c>
      <c r="S153" s="8">
        <f t="shared" si="42"/>
        <v>-31.407880754867385</v>
      </c>
      <c r="T153" s="8">
        <f t="shared" si="43"/>
        <v>-10.50138401502777</v>
      </c>
      <c r="V153" s="21">
        <f>T153-riaa_curve!G137</f>
        <v>0.031172910039600765</v>
      </c>
      <c r="W153" s="21">
        <f>T153-riaa_curve!H137</f>
        <v>-0.045515154216349885</v>
      </c>
    </row>
    <row r="154" spans="9:23" ht="12.75">
      <c r="I154" s="13">
        <v>7240.77343935023</v>
      </c>
      <c r="J154" s="10">
        <f t="shared" si="33"/>
        <v>45495.12128674156</v>
      </c>
      <c r="K154" s="9">
        <f t="shared" si="34"/>
        <v>-0.13551995663072305</v>
      </c>
      <c r="L154" s="9">
        <f t="shared" si="35"/>
        <v>-0.010222940821808833</v>
      </c>
      <c r="M154" s="9">
        <f t="shared" si="36"/>
        <v>-1.5386524812724112</v>
      </c>
      <c r="N154" s="9">
        <f t="shared" si="37"/>
        <v>-5.1554727881177</v>
      </c>
      <c r="O154" s="9">
        <f t="shared" si="38"/>
        <v>0.018470167164239264</v>
      </c>
      <c r="P154" s="10">
        <f t="shared" si="39"/>
        <v>28.94635112714783</v>
      </c>
      <c r="Q154" s="8">
        <f t="shared" si="40"/>
        <v>-17.33529173959967</v>
      </c>
      <c r="R154" s="8">
        <f t="shared" si="41"/>
        <v>14.615938259142139</v>
      </c>
      <c r="S154" s="8">
        <f t="shared" si="42"/>
        <v>-31.95122999874181</v>
      </c>
      <c r="T154" s="8">
        <f t="shared" si="43"/>
        <v>-11.044733258902195</v>
      </c>
      <c r="V154" s="21">
        <f>T154-riaa_curve!G138</f>
        <v>0.042140336629824304</v>
      </c>
      <c r="W154" s="21">
        <f>T154-riaa_curve!H138</f>
        <v>-0.046088876249900324</v>
      </c>
    </row>
    <row r="155" spans="9:23" ht="12.75">
      <c r="I155" s="13">
        <v>7760.46882053322</v>
      </c>
      <c r="J155" s="10">
        <f t="shared" si="33"/>
        <v>48760.463669999626</v>
      </c>
      <c r="K155" s="9">
        <f t="shared" si="34"/>
        <v>-0.15567155125098117</v>
      </c>
      <c r="L155" s="9">
        <f t="shared" si="35"/>
        <v>-0.014063990751371887</v>
      </c>
      <c r="M155" s="9">
        <f t="shared" si="36"/>
        <v>-1.7674475741497255</v>
      </c>
      <c r="N155" s="9">
        <f t="shared" si="37"/>
        <v>-6.348786263651044</v>
      </c>
      <c r="O155" s="9">
        <f t="shared" si="38"/>
        <v>0.02443142770474153</v>
      </c>
      <c r="P155" s="10">
        <f t="shared" si="39"/>
        <v>43.43095794889193</v>
      </c>
      <c r="Q155" s="8">
        <f t="shared" si="40"/>
        <v>-16.120511533223535</v>
      </c>
      <c r="R155" s="8">
        <f t="shared" si="41"/>
        <v>16.37799408623788</v>
      </c>
      <c r="S155" s="8">
        <f t="shared" si="42"/>
        <v>-32.49850561946141</v>
      </c>
      <c r="T155" s="8">
        <f t="shared" si="43"/>
        <v>-11.592008879621797</v>
      </c>
      <c r="V155" s="21">
        <f>T155-riaa_curve!G139</f>
        <v>0.05487480380073961</v>
      </c>
      <c r="W155" s="21">
        <f>T155-riaa_curve!H139</f>
        <v>-0.04657396778094025</v>
      </c>
    </row>
    <row r="156" spans="9:23" ht="12.75">
      <c r="I156" s="13">
        <v>8317.46453868783</v>
      </c>
      <c r="J156" s="10">
        <f t="shared" si="33"/>
        <v>52260.170982470605</v>
      </c>
      <c r="K156" s="9">
        <f t="shared" si="34"/>
        <v>-0.17881965484183854</v>
      </c>
      <c r="L156" s="9">
        <f t="shared" si="35"/>
        <v>-0.01889896442182236</v>
      </c>
      <c r="M156" s="9">
        <f t="shared" si="36"/>
        <v>-2.0302641209692878</v>
      </c>
      <c r="N156" s="9">
        <f t="shared" si="37"/>
        <v>-7.818046249015351</v>
      </c>
      <c r="O156" s="9">
        <f t="shared" si="38"/>
        <v>0.032333639813971575</v>
      </c>
      <c r="P156" s="10">
        <f t="shared" si="39"/>
        <v>65.2438195526382</v>
      </c>
      <c r="Q156" s="8">
        <f t="shared" si="40"/>
        <v>-14.90345403889938</v>
      </c>
      <c r="R156" s="8">
        <f t="shared" si="41"/>
        <v>18.145393779059066</v>
      </c>
      <c r="S156" s="8">
        <f t="shared" si="42"/>
        <v>-33.048847817958446</v>
      </c>
      <c r="T156" s="8">
        <f t="shared" si="43"/>
        <v>-12.142351078118832</v>
      </c>
      <c r="V156" s="21">
        <f>T156-riaa_curve!G140</f>
        <v>0.06960926484886087</v>
      </c>
      <c r="W156" s="21">
        <f>T156-riaa_curve!H140</f>
        <v>-0.046975298254114506</v>
      </c>
    </row>
    <row r="157" spans="9:23" ht="12.75">
      <c r="I157" s="13">
        <v>8914.43776815229</v>
      </c>
      <c r="J157" s="10">
        <f t="shared" si="33"/>
        <v>56011.06440662125</v>
      </c>
      <c r="K157" s="9">
        <f t="shared" si="34"/>
        <v>-0.2054098433579576</v>
      </c>
      <c r="L157" s="9">
        <f t="shared" si="35"/>
        <v>-0.024965215949185732</v>
      </c>
      <c r="M157" s="9">
        <f t="shared" si="36"/>
        <v>-2.3321610559669232</v>
      </c>
      <c r="N157" s="9">
        <f t="shared" si="37"/>
        <v>-9.627044762629675</v>
      </c>
      <c r="O157" s="9">
        <f t="shared" si="38"/>
        <v>0.04281646575573015</v>
      </c>
      <c r="P157" s="10">
        <f t="shared" si="39"/>
        <v>98.1189660526442</v>
      </c>
      <c r="Q157" s="8">
        <f t="shared" si="40"/>
        <v>-13.683891839853192</v>
      </c>
      <c r="R157" s="8">
        <f t="shared" si="41"/>
        <v>19.917529630973615</v>
      </c>
      <c r="S157" s="8">
        <f t="shared" si="42"/>
        <v>-33.60142147082681</v>
      </c>
      <c r="T157" s="8">
        <f t="shared" si="43"/>
        <v>-12.694924730987193</v>
      </c>
      <c r="V157" s="21">
        <f>T157-riaa_curve!G141</f>
        <v>0.0866089495003699</v>
      </c>
      <c r="W157" s="21">
        <f>T157-riaa_curve!H141</f>
        <v>-0.04729722129512837</v>
      </c>
    </row>
    <row r="158" spans="9:23" ht="12.75">
      <c r="I158" s="13">
        <v>9554.25783333688</v>
      </c>
      <c r="J158" s="10">
        <f t="shared" si="33"/>
        <v>60031.172439427755</v>
      </c>
      <c r="K158" s="9">
        <f t="shared" si="34"/>
        <v>-0.23595394916548434</v>
      </c>
      <c r="L158" s="9">
        <f t="shared" si="35"/>
        <v>-0.03255550902460436</v>
      </c>
      <c r="M158" s="9">
        <f t="shared" si="36"/>
        <v>-2.678949568577351</v>
      </c>
      <c r="N158" s="9">
        <f t="shared" si="37"/>
        <v>-11.854319603404315</v>
      </c>
      <c r="O158" s="9">
        <f t="shared" si="38"/>
        <v>0.056734127294639065</v>
      </c>
      <c r="P158" s="10">
        <f t="shared" si="39"/>
        <v>147.70166405063662</v>
      </c>
      <c r="Q158" s="8">
        <f t="shared" si="40"/>
        <v>-12.461556212284169</v>
      </c>
      <c r="R158" s="8">
        <f t="shared" si="41"/>
        <v>21.69385388229607</v>
      </c>
      <c r="S158" s="8">
        <f t="shared" si="42"/>
        <v>-34.15541009458024</v>
      </c>
      <c r="T158" s="8">
        <f t="shared" si="43"/>
        <v>-13.248913354740626</v>
      </c>
      <c r="V158" s="21">
        <f>T158-riaa_curve!G142</f>
        <v>0.10617510189628021</v>
      </c>
      <c r="W158" s="21">
        <f>T158-riaa_curve!H142</f>
        <v>-0.04754348349873183</v>
      </c>
    </row>
    <row r="159" spans="9:24" ht="12.75">
      <c r="I159" s="13">
        <v>10240</v>
      </c>
      <c r="J159" s="10">
        <f t="shared" si="33"/>
        <v>64339.81754551896</v>
      </c>
      <c r="K159" s="9">
        <f t="shared" si="34"/>
        <v>-0.27103991326144744</v>
      </c>
      <c r="L159" s="9">
        <f t="shared" si="35"/>
        <v>-0.04203086375206967</v>
      </c>
      <c r="M159" s="9">
        <f t="shared" si="36"/>
        <v>-3.077304962544837</v>
      </c>
      <c r="N159" s="9">
        <f t="shared" si="37"/>
        <v>-14.596562799434379</v>
      </c>
      <c r="O159" s="9">
        <f t="shared" si="38"/>
        <v>0.07522922808851801</v>
      </c>
      <c r="P159" s="10">
        <f t="shared" si="39"/>
        <v>222.52945139033469</v>
      </c>
      <c r="Q159" s="8">
        <f t="shared" si="40"/>
        <v>-11.23613394363413</v>
      </c>
      <c r="R159" s="8">
        <f t="shared" si="41"/>
        <v>23.473874972489234</v>
      </c>
      <c r="S159" s="8">
        <f t="shared" si="42"/>
        <v>-34.710008916123364</v>
      </c>
      <c r="T159" s="2">
        <f t="shared" si="43"/>
        <v>-13.80351217628375</v>
      </c>
      <c r="U159" s="2"/>
      <c r="V159" s="21">
        <f>T159-riaa_curve!G143</f>
        <v>0.1286489230563994</v>
      </c>
      <c r="W159" s="21">
        <f>T159-riaa_curve!H143</f>
        <v>-0.04771716375028845</v>
      </c>
      <c r="X159" s="3"/>
    </row>
    <row r="160" spans="9:23" ht="12.75">
      <c r="I160" s="13">
        <v>10974.9602563716</v>
      </c>
      <c r="J160" s="10">
        <f t="shared" si="33"/>
        <v>68957.70902971394</v>
      </c>
      <c r="K160" s="9">
        <f t="shared" si="34"/>
        <v>-0.3113431025019613</v>
      </c>
      <c r="L160" s="9">
        <f t="shared" si="35"/>
        <v>-0.05383637577616382</v>
      </c>
      <c r="M160" s="9">
        <f t="shared" si="36"/>
        <v>-3.534895148299439</v>
      </c>
      <c r="N160" s="9">
        <f t="shared" si="37"/>
        <v>-17.972816903717558</v>
      </c>
      <c r="O160" s="9">
        <f t="shared" si="38"/>
        <v>0.09983288283225909</v>
      </c>
      <c r="P160" s="10">
        <f t="shared" si="39"/>
        <v>335.5176311640265</v>
      </c>
      <c r="Q160" s="8">
        <f t="shared" si="40"/>
        <v>-10.007263877663398</v>
      </c>
      <c r="R160" s="8">
        <f t="shared" si="41"/>
        <v>25.2571534690756</v>
      </c>
      <c r="S160" s="8">
        <f t="shared" si="42"/>
        <v>-35.264417346738995</v>
      </c>
      <c r="T160" s="8">
        <f t="shared" si="43"/>
        <v>-14.35792060689938</v>
      </c>
      <c r="V160" s="21">
        <f>T160-riaa_curve!G144</f>
        <v>0.15441567602767137</v>
      </c>
      <c r="W160" s="21">
        <f>T160-riaa_curve!H144</f>
        <v>-0.047820638884982</v>
      </c>
    </row>
    <row r="161" spans="9:23" ht="12.75">
      <c r="I161" s="13">
        <v>11762.6711551696</v>
      </c>
      <c r="J161" s="10">
        <f t="shared" si="33"/>
        <v>73907.04257534677</v>
      </c>
      <c r="K161" s="9">
        <f t="shared" si="34"/>
        <v>-0.3576393096836767</v>
      </c>
      <c r="L161" s="9">
        <f t="shared" si="35"/>
        <v>-0.06852069493011313</v>
      </c>
      <c r="M161" s="9">
        <f t="shared" si="36"/>
        <v>-4.060528241938572</v>
      </c>
      <c r="N161" s="9">
        <f t="shared" si="37"/>
        <v>-22.129641243564404</v>
      </c>
      <c r="O161" s="9">
        <f t="shared" si="38"/>
        <v>0.13260096146472242</v>
      </c>
      <c r="P161" s="10">
        <f t="shared" si="39"/>
        <v>506.2089111724474</v>
      </c>
      <c r="Q161" s="8">
        <f t="shared" si="40"/>
        <v>-8.774533269319269</v>
      </c>
      <c r="R161" s="8">
        <f t="shared" si="41"/>
        <v>27.043297860987213</v>
      </c>
      <c r="S161" s="8">
        <f t="shared" si="42"/>
        <v>-35.81783113030648</v>
      </c>
      <c r="T161" s="8">
        <f t="shared" si="43"/>
        <v>-14.911334390466866</v>
      </c>
      <c r="V161" s="21">
        <f>T161-riaa_curve!G145</f>
        <v>0.1839088861150735</v>
      </c>
      <c r="W161" s="21">
        <f>T161-riaa_curve!H145</f>
        <v>-0.04785557239351235</v>
      </c>
    </row>
    <row r="162" spans="9:23" ht="12.75">
      <c r="I162" s="13">
        <v>12606.9187926519</v>
      </c>
      <c r="J162" s="10">
        <f t="shared" si="33"/>
        <v>79211.60692679664</v>
      </c>
      <c r="K162" s="9">
        <f t="shared" si="34"/>
        <v>-0.4108196867159145</v>
      </c>
      <c r="L162" s="9">
        <f t="shared" si="35"/>
        <v>-0.0867600094983699</v>
      </c>
      <c r="M162" s="9">
        <f t="shared" si="36"/>
        <v>-4.664322111933839</v>
      </c>
      <c r="N162" s="9">
        <f t="shared" si="37"/>
        <v>-27.24747232331437</v>
      </c>
      <c r="O162" s="9">
        <f t="shared" si="38"/>
        <v>0.17630011424151937</v>
      </c>
      <c r="P162" s="10">
        <f t="shared" si="39"/>
        <v>764.1806487736575</v>
      </c>
      <c r="Q162" s="8">
        <f t="shared" si="40"/>
        <v>-7.5374740628011425</v>
      </c>
      <c r="R162" s="8">
        <f t="shared" si="41"/>
        <v>28.831960359207937</v>
      </c>
      <c r="S162" s="8">
        <f t="shared" si="42"/>
        <v>-36.36943442200908</v>
      </c>
      <c r="T162" s="8">
        <f t="shared" si="43"/>
        <v>-15.462937682169464</v>
      </c>
      <c r="V162" s="21">
        <f>T162-riaa_curve!G146</f>
        <v>0.21761453643431494</v>
      </c>
      <c r="W162" s="21">
        <f>T162-riaa_curve!H146</f>
        <v>-0.047822923963462216</v>
      </c>
    </row>
    <row r="163" spans="9:23" ht="12.75">
      <c r="I163" s="13">
        <v>13511.7610063144</v>
      </c>
      <c r="J163" s="10">
        <f t="shared" si="33"/>
        <v>84896.8982289967</v>
      </c>
      <c r="K163" s="9">
        <f t="shared" si="34"/>
        <v>-0.47190789833096874</v>
      </c>
      <c r="L163" s="9">
        <f t="shared" si="35"/>
        <v>-0.10938757777347932</v>
      </c>
      <c r="M163" s="9">
        <f t="shared" si="36"/>
        <v>-5.3578991371547025</v>
      </c>
      <c r="N163" s="9">
        <f t="shared" si="37"/>
        <v>-33.54845440248989</v>
      </c>
      <c r="O163" s="9">
        <f t="shared" si="38"/>
        <v>0.23466270667830091</v>
      </c>
      <c r="P163" s="10">
        <f t="shared" si="39"/>
        <v>1154.2058759598663</v>
      </c>
      <c r="Q163" s="8">
        <f t="shared" si="40"/>
        <v>-6.295559243372374</v>
      </c>
      <c r="R163" s="8">
        <f t="shared" si="41"/>
        <v>30.62283280933006</v>
      </c>
      <c r="S163" s="8">
        <f t="shared" si="42"/>
        <v>-36.91839205270243</v>
      </c>
      <c r="T163" s="8">
        <f t="shared" si="43"/>
        <v>-16.011895312862816</v>
      </c>
      <c r="V163" s="21">
        <f>T163-riaa_curve!G147</f>
        <v>0.2560751201641729</v>
      </c>
      <c r="W163" s="21">
        <f>T163-riaa_curve!H147</f>
        <v>-0.047722978787586356</v>
      </c>
    </row>
    <row r="164" spans="9:23" ht="12.75">
      <c r="I164" s="13">
        <v>14481.5468787005</v>
      </c>
      <c r="J164" s="10">
        <f t="shared" si="33"/>
        <v>90990.24257348338</v>
      </c>
      <c r="K164" s="9">
        <f t="shared" si="34"/>
        <v>-0.5420798265228953</v>
      </c>
      <c r="L164" s="9">
        <f t="shared" si="35"/>
        <v>-0.13743008938206233</v>
      </c>
      <c r="M164" s="9">
        <f t="shared" si="36"/>
        <v>-6.15460992508968</v>
      </c>
      <c r="N164" s="9">
        <f t="shared" si="37"/>
        <v>-41.306080072501175</v>
      </c>
      <c r="O164" s="9">
        <f t="shared" si="38"/>
        <v>0.3127375677906539</v>
      </c>
      <c r="P164" s="10">
        <f t="shared" si="39"/>
        <v>1744.0714742858909</v>
      </c>
      <c r="Q164" s="8">
        <f t="shared" si="40"/>
        <v>-5.048199457344083</v>
      </c>
      <c r="R164" s="8">
        <f t="shared" si="41"/>
        <v>32.415642789061266</v>
      </c>
      <c r="S164" s="8">
        <f t="shared" si="42"/>
        <v>-37.46384224640535</v>
      </c>
      <c r="T164" s="8">
        <f t="shared" si="43"/>
        <v>-16.557345506565735</v>
      </c>
      <c r="V164" s="21">
        <f>T164-riaa_curve!G148</f>
        <v>0.2998933654054632</v>
      </c>
      <c r="W164" s="21">
        <f>T164-riaa_curve!H148</f>
        <v>-0.04755539666507147</v>
      </c>
    </row>
    <row r="165" spans="9:23" ht="12.75">
      <c r="I165" s="13">
        <v>15520.9376410664</v>
      </c>
      <c r="J165" s="10">
        <f t="shared" si="33"/>
        <v>97520.92733999899</v>
      </c>
      <c r="K165" s="9">
        <f t="shared" si="34"/>
        <v>-0.6226862050039212</v>
      </c>
      <c r="L165" s="9">
        <f t="shared" si="35"/>
        <v>-0.172152435309508</v>
      </c>
      <c r="M165" s="9">
        <f t="shared" si="36"/>
        <v>-7.069790296598864</v>
      </c>
      <c r="N165" s="9">
        <f t="shared" si="37"/>
        <v>-50.85705920325315</v>
      </c>
      <c r="O165" s="9">
        <f t="shared" si="38"/>
        <v>0.41737457088517976</v>
      </c>
      <c r="P165" s="10">
        <f t="shared" si="39"/>
        <v>2636.4224056410794</v>
      </c>
      <c r="Q165" s="8">
        <f t="shared" si="40"/>
        <v>-3.794740144480115</v>
      </c>
      <c r="R165" s="8">
        <f t="shared" si="41"/>
        <v>34.2101499383634</v>
      </c>
      <c r="S165" s="8">
        <f t="shared" si="42"/>
        <v>-38.00489008284352</v>
      </c>
      <c r="T165" s="8">
        <f t="shared" si="43"/>
        <v>-17.098393343003902</v>
      </c>
      <c r="V165" s="21">
        <f>T165-riaa_curve!G149</f>
        <v>0.3497353972689332</v>
      </c>
      <c r="W165" s="21">
        <f>T165-riaa_curve!H149</f>
        <v>-0.04731928188074974</v>
      </c>
    </row>
    <row r="166" spans="9:23" ht="12.75">
      <c r="I166" s="13">
        <v>16634.9290773757</v>
      </c>
      <c r="J166" s="10">
        <f t="shared" si="33"/>
        <v>104520.34196494146</v>
      </c>
      <c r="K166" s="9">
        <f t="shared" si="34"/>
        <v>-0.7152786193673575</v>
      </c>
      <c r="L166" s="9">
        <f t="shared" si="35"/>
        <v>-0.21511283053289876</v>
      </c>
      <c r="M166" s="9">
        <f t="shared" si="36"/>
        <v>-8.12105648387719</v>
      </c>
      <c r="N166" s="9">
        <f t="shared" si="37"/>
        <v>-62.61593133523852</v>
      </c>
      <c r="O166" s="9">
        <f t="shared" si="38"/>
        <v>0.5578970331839487</v>
      </c>
      <c r="P166" s="10">
        <f t="shared" si="39"/>
        <v>3986.706415393629</v>
      </c>
      <c r="Q166" s="8">
        <f t="shared" si="40"/>
        <v>-2.534459480989799</v>
      </c>
      <c r="R166" s="8">
        <f t="shared" si="41"/>
        <v>36.00614255007995</v>
      </c>
      <c r="S166" s="8">
        <f t="shared" si="42"/>
        <v>-38.54060203106975</v>
      </c>
      <c r="T166" s="8">
        <f t="shared" si="43"/>
        <v>-17.63410529123014</v>
      </c>
      <c r="V166" s="21">
        <f>T166-riaa_curve!G150</f>
        <v>0.4063330465978474</v>
      </c>
      <c r="W166" s="21">
        <f>T166-riaa_curve!H150</f>
        <v>-0.04701327556712798</v>
      </c>
    </row>
    <row r="167" spans="9:23" ht="12.75">
      <c r="I167" s="13">
        <v>17828.8755363046</v>
      </c>
      <c r="J167" s="10">
        <f t="shared" si="33"/>
        <v>112022.12881324263</v>
      </c>
      <c r="K167" s="9">
        <f t="shared" si="34"/>
        <v>-0.8216393734318322</v>
      </c>
      <c r="L167" s="9">
        <f t="shared" si="35"/>
        <v>-0.2682306825158988</v>
      </c>
      <c r="M167" s="9">
        <f t="shared" si="36"/>
        <v>-9.328644223867714</v>
      </c>
      <c r="N167" s="9">
        <f t="shared" si="37"/>
        <v>-77.09305564953205</v>
      </c>
      <c r="O167" s="9">
        <f t="shared" si="38"/>
        <v>0.7470389590163988</v>
      </c>
      <c r="P167" s="10">
        <f t="shared" si="39"/>
        <v>6030.362832437346</v>
      </c>
      <c r="Q167" s="8">
        <f t="shared" si="40"/>
        <v>-1.2665674859337854</v>
      </c>
      <c r="R167" s="8">
        <f t="shared" si="41"/>
        <v>37.80343443381413</v>
      </c>
      <c r="S167" s="8">
        <f t="shared" si="42"/>
        <v>-39.07000191974792</v>
      </c>
      <c r="T167" s="8">
        <f t="shared" si="43"/>
        <v>-18.163505179908302</v>
      </c>
      <c r="V167" s="21">
        <f>T167-riaa_curve!G151</f>
        <v>0.4704849589442226</v>
      </c>
      <c r="W167" s="21">
        <f>T167-riaa_curve!H151</f>
        <v>-0.04663567261954782</v>
      </c>
    </row>
    <row r="168" spans="9:23" ht="12.75">
      <c r="I168" s="13">
        <v>19108.5156666738</v>
      </c>
      <c r="J168" s="10">
        <f t="shared" si="33"/>
        <v>120062.34487885576</v>
      </c>
      <c r="K168" s="9">
        <f t="shared" si="34"/>
        <v>-0.9438157966619412</v>
      </c>
      <c r="L168" s="9">
        <f t="shared" si="35"/>
        <v>-0.3338701520287731</v>
      </c>
      <c r="M168" s="9">
        <f t="shared" si="36"/>
        <v>-10.715798274309448</v>
      </c>
      <c r="N168" s="9">
        <f t="shared" si="37"/>
        <v>-94.91675922435302</v>
      </c>
      <c r="O168" s="9">
        <f t="shared" si="38"/>
        <v>1.0022575364443307</v>
      </c>
      <c r="P168" s="10">
        <f t="shared" si="39"/>
        <v>9124.019514309497</v>
      </c>
      <c r="Q168" s="8">
        <f t="shared" si="40"/>
        <v>0.009793305986682021</v>
      </c>
      <c r="R168" s="8">
        <f t="shared" si="41"/>
        <v>39.60186205467814</v>
      </c>
      <c r="S168" s="8">
        <f t="shared" si="42"/>
        <v>-39.59206874869146</v>
      </c>
      <c r="T168" s="8">
        <f t="shared" si="43"/>
        <v>-18.685572008851846</v>
      </c>
      <c r="V168" s="21">
        <f>T168-riaa_curve!G152</f>
        <v>0.5430561062794403</v>
      </c>
      <c r="W168" s="21">
        <f>T168-riaa_curve!H152</f>
        <v>-0.04618456512723057</v>
      </c>
    </row>
    <row r="169" spans="9:24" ht="12.75">
      <c r="I169" s="14">
        <v>20480</v>
      </c>
      <c r="J169" s="10">
        <f t="shared" si="33"/>
        <v>128679.63509103793</v>
      </c>
      <c r="K169" s="9">
        <f t="shared" si="34"/>
        <v>-1.0841596530457898</v>
      </c>
      <c r="L169" s="9">
        <f t="shared" si="35"/>
        <v>-0.4149430338384982</v>
      </c>
      <c r="M169" s="9">
        <f t="shared" si="36"/>
        <v>-12.309219850179348</v>
      </c>
      <c r="N169" s="9">
        <f t="shared" si="37"/>
        <v>-116.86060474326285</v>
      </c>
      <c r="O169" s="9">
        <f t="shared" si="38"/>
        <v>1.3475798746234644</v>
      </c>
      <c r="P169" s="10">
        <f t="shared" si="39"/>
        <v>13807.917834281157</v>
      </c>
      <c r="Q169" s="8">
        <f t="shared" si="40"/>
        <v>1.2955451640433235</v>
      </c>
      <c r="R169" s="8">
        <f t="shared" si="41"/>
        <v>41.401281940559215</v>
      </c>
      <c r="S169" s="8">
        <f t="shared" si="42"/>
        <v>-40.10573677651589</v>
      </c>
      <c r="T169" s="3">
        <f t="shared" si="43"/>
        <v>-19.199240036676276</v>
      </c>
      <c r="U169" s="3"/>
      <c r="V169" s="21">
        <f>T169-riaa_curve!G153</f>
        <v>0.6249752648493363</v>
      </c>
      <c r="W169" s="21">
        <f>T169-riaa_curve!H153</f>
        <v>-0.04565801355137822</v>
      </c>
      <c r="X169" s="3"/>
    </row>
    <row r="170" spans="9:23" ht="12.75">
      <c r="I170" s="13">
        <v>21949.9205127432</v>
      </c>
      <c r="J170" s="10">
        <f t="shared" si="33"/>
        <v>137915.41805942787</v>
      </c>
      <c r="K170" s="9">
        <f t="shared" si="34"/>
        <v>-1.2453724100078452</v>
      </c>
      <c r="L170" s="9">
        <f t="shared" si="35"/>
        <v>-0.5150354233261366</v>
      </c>
      <c r="M170" s="9">
        <f t="shared" si="36"/>
        <v>-14.139580593197756</v>
      </c>
      <c r="N170" s="9">
        <f t="shared" si="37"/>
        <v>-143.8769609880866</v>
      </c>
      <c r="O170" s="9">
        <f t="shared" si="38"/>
        <v>1.816213926889481</v>
      </c>
      <c r="P170" s="10">
        <f t="shared" si="39"/>
        <v>20900.50764251893</v>
      </c>
      <c r="Q170" s="8">
        <f t="shared" si="40"/>
        <v>2.5916700156159194</v>
      </c>
      <c r="R170" s="8">
        <f t="shared" si="41"/>
        <v>43.20156834611883</v>
      </c>
      <c r="S170" s="8">
        <f t="shared" si="42"/>
        <v>-40.609898330502915</v>
      </c>
      <c r="T170" s="8">
        <f t="shared" si="43"/>
        <v>-19.7034015906633</v>
      </c>
      <c r="V170" s="21">
        <f>T170-riaa_curve!G154</f>
        <v>0.7172300051922882</v>
      </c>
      <c r="W170" s="21">
        <f>T170-riaa_curve!H154</f>
        <v>-0.0450542454145797</v>
      </c>
    </row>
    <row r="171" spans="9:23" ht="12.75">
      <c r="I171" s="13">
        <v>23525.3423103392</v>
      </c>
      <c r="J171" s="10">
        <f t="shared" si="33"/>
        <v>147814.08515069354</v>
      </c>
      <c r="K171" s="9">
        <f t="shared" si="34"/>
        <v>-1.4305572387347067</v>
      </c>
      <c r="L171" s="9">
        <f t="shared" si="35"/>
        <v>-0.6385636674198111</v>
      </c>
      <c r="M171" s="9">
        <f t="shared" si="36"/>
        <v>-16.242112967754288</v>
      </c>
      <c r="N171" s="9">
        <f t="shared" si="37"/>
        <v>-177.13833297049052</v>
      </c>
      <c r="O171" s="9">
        <f t="shared" si="38"/>
        <v>2.4542575706449075</v>
      </c>
      <c r="P171" s="10">
        <f t="shared" si="39"/>
        <v>31641.795241221662</v>
      </c>
      <c r="Q171" s="8">
        <f t="shared" si="40"/>
        <v>3.899201393362705</v>
      </c>
      <c r="R171" s="8">
        <f t="shared" si="41"/>
        <v>45.00261115825582</v>
      </c>
      <c r="S171" s="8">
        <f t="shared" si="42"/>
        <v>-41.103409764893115</v>
      </c>
      <c r="T171" s="8">
        <f t="shared" si="43"/>
        <v>-20.1969130250535</v>
      </c>
      <c r="V171" s="21">
        <f>T171-riaa_curve!G155</f>
        <v>0.8208587561341609</v>
      </c>
      <c r="W171" s="21">
        <f>T171-riaa_curve!H155</f>
        <v>-0.044371878963826106</v>
      </c>
    </row>
    <row r="172" spans="9:23" ht="12.75">
      <c r="I172" s="13">
        <v>25213.8375853038</v>
      </c>
      <c r="J172" s="10">
        <f t="shared" si="33"/>
        <v>158423.21385359328</v>
      </c>
      <c r="K172" s="9">
        <f t="shared" si="34"/>
        <v>-1.643278746863658</v>
      </c>
      <c r="L172" s="9">
        <f t="shared" si="35"/>
        <v>-0.7909663691822411</v>
      </c>
      <c r="M172" s="9">
        <f t="shared" si="36"/>
        <v>-18.657288447735358</v>
      </c>
      <c r="N172" s="9">
        <f t="shared" si="37"/>
        <v>-218.08824529979654</v>
      </c>
      <c r="O172" s="9">
        <f t="shared" si="38"/>
        <v>3.3259928370711314</v>
      </c>
      <c r="P172" s="10">
        <f t="shared" si="39"/>
        <v>47910.57715016623</v>
      </c>
      <c r="Q172" s="8">
        <f t="shared" si="40"/>
        <v>5.219213095786803</v>
      </c>
      <c r="R172" s="8">
        <f t="shared" si="41"/>
        <v>46.804314025764235</v>
      </c>
      <c r="S172" s="8">
        <f t="shared" si="42"/>
        <v>-41.58510092997743</v>
      </c>
      <c r="T172" s="8">
        <f t="shared" si="43"/>
        <v>-20.678604190137815</v>
      </c>
      <c r="V172" s="21">
        <f>T172-riaa_curve!G156</f>
        <v>0.9369395659122013</v>
      </c>
      <c r="W172" s="21">
        <f>T172-riaa_curve!H156</f>
        <v>-0.0436101661382402</v>
      </c>
    </row>
    <row r="173" spans="9:23" ht="12.75">
      <c r="I173" s="13">
        <v>27023.5220126288</v>
      </c>
      <c r="J173" s="10">
        <f t="shared" si="33"/>
        <v>169793.7964579934</v>
      </c>
      <c r="K173" s="9">
        <f t="shared" si="34"/>
        <v>-1.887631593323875</v>
      </c>
      <c r="L173" s="9">
        <f t="shared" si="35"/>
        <v>-0.9789407801180483</v>
      </c>
      <c r="M173" s="9">
        <f t="shared" si="36"/>
        <v>-21.43159654861881</v>
      </c>
      <c r="N173" s="9">
        <f t="shared" si="37"/>
        <v>-268.50388696478285</v>
      </c>
      <c r="O173" s="9">
        <f t="shared" si="38"/>
        <v>4.521478083092564</v>
      </c>
      <c r="P173" s="10">
        <f t="shared" si="39"/>
        <v>72553.65064581965</v>
      </c>
      <c r="Q173" s="8">
        <f t="shared" si="40"/>
        <v>6.552804300317906</v>
      </c>
      <c r="R173" s="8">
        <f t="shared" si="41"/>
        <v>48.60659269502175</v>
      </c>
      <c r="S173" s="8">
        <f t="shared" si="42"/>
        <v>-42.053788394703844</v>
      </c>
      <c r="T173" s="8">
        <f t="shared" si="43"/>
        <v>-21.14729165486423</v>
      </c>
      <c r="V173" s="21">
        <f>T173-riaa_curve!G157</f>
        <v>1.0665753019057895</v>
      </c>
      <c r="W173" s="21">
        <f>T173-riaa_curve!H157</f>
        <v>-0.042769245349088436</v>
      </c>
    </row>
    <row r="174" spans="9:23" ht="12.75">
      <c r="I174" s="13">
        <v>28963.0937574009</v>
      </c>
      <c r="J174" s="10">
        <f t="shared" si="33"/>
        <v>181980.48514696612</v>
      </c>
      <c r="K174" s="9">
        <f t="shared" si="34"/>
        <v>-2.168319306091566</v>
      </c>
      <c r="L174" s="9">
        <f t="shared" si="35"/>
        <v>-1.210733840671667</v>
      </c>
      <c r="M174" s="9">
        <f t="shared" si="36"/>
        <v>-24.618439700358547</v>
      </c>
      <c r="N174" s="9">
        <f t="shared" si="37"/>
        <v>-330.5732361151244</v>
      </c>
      <c r="O174" s="9">
        <f t="shared" si="38"/>
        <v>6.167485046116977</v>
      </c>
      <c r="P174" s="10">
        <f t="shared" si="39"/>
        <v>109884.732008906</v>
      </c>
      <c r="Q174" s="8">
        <f t="shared" si="40"/>
        <v>7.9010810515865195</v>
      </c>
      <c r="R174" s="8">
        <f t="shared" si="41"/>
        <v>50.40937353343228</v>
      </c>
      <c r="S174" s="8">
        <f t="shared" si="42"/>
        <v>-42.50829248184576</v>
      </c>
      <c r="T174" s="8">
        <f t="shared" si="43"/>
        <v>-21.601795742006143</v>
      </c>
      <c r="V174" s="21">
        <f>T174-riaa_curve!G158</f>
        <v>1.2108752136545355</v>
      </c>
      <c r="W174" s="21">
        <f>T174-riaa_curve!H158</f>
        <v>-0.04185039038898353</v>
      </c>
    </row>
    <row r="175" spans="9:23" ht="12.75">
      <c r="I175" s="13">
        <v>31041.8752821329</v>
      </c>
      <c r="J175" s="10">
        <f t="shared" si="33"/>
        <v>195041.85467999862</v>
      </c>
      <c r="K175" s="9">
        <f t="shared" si="34"/>
        <v>-2.4907448200157014</v>
      </c>
      <c r="L175" s="9">
        <f t="shared" si="35"/>
        <v>-1.496500501073148</v>
      </c>
      <c r="M175" s="9">
        <f t="shared" si="36"/>
        <v>-28.279161186395644</v>
      </c>
      <c r="N175" s="9">
        <f t="shared" si="37"/>
        <v>-406.9900118141198</v>
      </c>
      <c r="O175" s="9">
        <f t="shared" si="38"/>
        <v>8.443323508147232</v>
      </c>
      <c r="P175" s="10">
        <f t="shared" si="39"/>
        <v>166440.5806738635</v>
      </c>
      <c r="Q175" s="8">
        <f t="shared" si="40"/>
        <v>9.265134296986087</v>
      </c>
      <c r="R175" s="8">
        <f t="shared" si="41"/>
        <v>52.21259222279614</v>
      </c>
      <c r="S175" s="8">
        <f t="shared" si="42"/>
        <v>-42.947457925810056</v>
      </c>
      <c r="T175" s="8">
        <f t="shared" si="43"/>
        <v>-22.040961185970442</v>
      </c>
      <c r="V175" s="21">
        <f>T175-riaa_curve!G159</f>
        <v>1.3709330329559926</v>
      </c>
      <c r="W175" s="21">
        <f>T175-riaa_curve!H159</f>
        <v>-0.04085623778135172</v>
      </c>
    </row>
    <row r="176" spans="9:23" ht="12.75">
      <c r="I176" s="13">
        <v>33269.8581547513</v>
      </c>
      <c r="J176" s="10">
        <f t="shared" si="33"/>
        <v>209040.68392988233</v>
      </c>
      <c r="K176" s="9">
        <f t="shared" si="34"/>
        <v>-2.8611144774694135</v>
      </c>
      <c r="L176" s="9">
        <f t="shared" si="35"/>
        <v>-1.8487448745798107</v>
      </c>
      <c r="M176" s="9">
        <f t="shared" si="36"/>
        <v>-32.484225935508576</v>
      </c>
      <c r="N176" s="9">
        <f t="shared" si="37"/>
        <v>-501.0705733681345</v>
      </c>
      <c r="O176" s="9">
        <f t="shared" si="38"/>
        <v>11.603833664470194</v>
      </c>
      <c r="P176" s="10">
        <f t="shared" si="39"/>
        <v>252126.9444301002</v>
      </c>
      <c r="Q176" s="8">
        <f t="shared" si="40"/>
        <v>10.646014947669167</v>
      </c>
      <c r="R176" s="8">
        <f t="shared" si="41"/>
        <v>54.0161926055947</v>
      </c>
      <c r="S176" s="8">
        <f t="shared" si="42"/>
        <v>-43.37017765792554</v>
      </c>
      <c r="T176" s="8">
        <f t="shared" si="43"/>
        <v>-22.463680918085924</v>
      </c>
      <c r="V176" s="21">
        <f>T176-riaa_curve!G160</f>
        <v>1.5478020906339118</v>
      </c>
      <c r="W176" s="21">
        <f>T176-riaa_curve!H160</f>
        <v>-0.03979097181093394</v>
      </c>
    </row>
    <row r="177" spans="9:23" ht="12.75">
      <c r="I177" s="13">
        <v>35657.7510726091</v>
      </c>
      <c r="J177" s="10">
        <f aca="true" t="shared" si="44" ref="J177:J191">(2*PI()*I177)</f>
        <v>224044.2576264846</v>
      </c>
      <c r="K177" s="9">
        <f aca="true" t="shared" si="45" ref="K177:K191">-J177*J177*$F$4*($F$6*$F$12+$F$5*$F$10)</f>
        <v>-3.2865574937273108</v>
      </c>
      <c r="L177" s="9">
        <f aca="true" t="shared" si="46" ref="L177:L191">J177*$F$4*(1-J177*J177*$F$5*$F$6*$F$10*$F$12)</f>
        <v>-2.2828633699719942</v>
      </c>
      <c r="M177" s="9">
        <f aca="true" t="shared" si="47" ref="M177:M191">-J177*J177*(($F$5*$F$6*($F$10+$F$11+$F$12))+$F$4*($F$5*$F$10+$F$6*$F$11+$F$6*$F$12+$F$5*$F$9+$F$6*$F$9))</f>
        <v>-37.31457689547065</v>
      </c>
      <c r="N177" s="9">
        <f aca="true" t="shared" si="48" ref="N177:N191">J177*($F$4-$F$4*J177*J177*$F$5*$F$6*($F$10*$F$12+$F$10*$F$11+$F$9*$F$10+$F$9*$F$11+$F$9*$F$12)+$F$5+$F$6)</f>
        <v>-616.8978402932398</v>
      </c>
      <c r="O177" s="9">
        <f aca="true" t="shared" si="49" ref="O177:O191">K177*K177+L177*L177</f>
        <v>16.012925325535033</v>
      </c>
      <c r="P177" s="10">
        <f aca="true" t="shared" si="50" ref="P177:P191">M177*M177+N177*N177</f>
        <v>381955.3230073516</v>
      </c>
      <c r="Q177" s="8">
        <f aca="true" t="shared" si="51" ref="Q177:Q191">10*LOG10(O177)</f>
        <v>12.044706783705221</v>
      </c>
      <c r="R177" s="8">
        <f aca="true" t="shared" si="52" ref="R177:R191">10*LOG10(P177)</f>
        <v>55.82012566822427</v>
      </c>
      <c r="S177" s="8">
        <f aca="true" t="shared" si="53" ref="S177:S191">Q177-R177</f>
        <v>-43.77541888451905</v>
      </c>
      <c r="T177" s="8">
        <f>S177-$S$45</f>
        <v>-22.868922144679434</v>
      </c>
      <c r="V177" s="21">
        <f>T177-riaa_curve!G161</f>
        <v>1.7424682699324343</v>
      </c>
      <c r="W177" s="21">
        <f>T177-riaa_curve!H161</f>
        <v>-0.038660445216809336</v>
      </c>
    </row>
    <row r="178" spans="9:23" ht="12.75">
      <c r="I178" s="13">
        <v>38217.0313333475</v>
      </c>
      <c r="J178" s="10">
        <f t="shared" si="44"/>
        <v>240124.68975771088</v>
      </c>
      <c r="K178" s="9">
        <f t="shared" si="45"/>
        <v>-3.7752631866477446</v>
      </c>
      <c r="L178" s="9">
        <f t="shared" si="46"/>
        <v>-2.817813375894035</v>
      </c>
      <c r="M178" s="9">
        <f t="shared" si="47"/>
        <v>-42.86319309723756</v>
      </c>
      <c r="N178" s="9">
        <f t="shared" si="48"/>
        <v>-759.4984785890537</v>
      </c>
      <c r="O178" s="9">
        <f t="shared" si="49"/>
        <v>22.192684349825022</v>
      </c>
      <c r="P178" s="10">
        <f t="shared" si="50"/>
        <v>578675.1923015782</v>
      </c>
      <c r="Q178" s="8">
        <f t="shared" si="51"/>
        <v>13.462098361575698</v>
      </c>
      <c r="R178" s="8">
        <f t="shared" si="52"/>
        <v>57.624348646385315</v>
      </c>
      <c r="S178" s="8">
        <f t="shared" si="53"/>
        <v>-44.162250284809616</v>
      </c>
      <c r="T178" s="8">
        <f>S178-$S$45</f>
        <v>-23.255753544970002</v>
      </c>
      <c r="V178" s="21">
        <f>T178-riaa_curve!G162</f>
        <v>1.9558219557624632</v>
      </c>
      <c r="W178" s="21">
        <f>T178-riaa_curve!H162</f>
        <v>-0.03747221491161312</v>
      </c>
    </row>
    <row r="179" spans="9:23" ht="12.75">
      <c r="I179" s="13">
        <v>40959.9999999999</v>
      </c>
      <c r="J179" s="10">
        <f t="shared" si="44"/>
        <v>257359.2701820752</v>
      </c>
      <c r="K179" s="9">
        <f t="shared" si="45"/>
        <v>-4.336638612183138</v>
      </c>
      <c r="L179" s="9">
        <f t="shared" si="46"/>
        <v>-3.476936518351841</v>
      </c>
      <c r="M179" s="9">
        <f t="shared" si="47"/>
        <v>-49.23687940071715</v>
      </c>
      <c r="N179" s="9">
        <f t="shared" si="48"/>
        <v>-935.0610426416714</v>
      </c>
      <c r="O179" s="9">
        <f t="shared" si="49"/>
        <v>30.895522005326313</v>
      </c>
      <c r="P179" s="10">
        <f t="shared" si="50"/>
        <v>876763.4237592504</v>
      </c>
      <c r="Q179" s="8">
        <f t="shared" si="51"/>
        <v>14.898955373760561</v>
      </c>
      <c r="R179" s="8">
        <f t="shared" si="52"/>
        <v>59.42882423906194</v>
      </c>
      <c r="S179" s="8">
        <f t="shared" si="53"/>
        <v>-44.52986886530138</v>
      </c>
      <c r="T179" s="8">
        <f>S179-$S$45</f>
        <v>-23.623372125461767</v>
      </c>
      <c r="V179" s="21">
        <f>T179-riaa_curve!G163</f>
        <v>2.1886304304492263</v>
      </c>
      <c r="W179" s="21">
        <f>T179-riaa_curve!H163</f>
        <v>-0.03623547668201965</v>
      </c>
    </row>
    <row r="180" spans="9:23" ht="12.75">
      <c r="I180" s="13">
        <v>43899.8410254865</v>
      </c>
      <c r="J180" s="10">
        <f t="shared" si="44"/>
        <v>275830.8361188564</v>
      </c>
      <c r="K180" s="9">
        <f t="shared" si="45"/>
        <v>-4.981489640031403</v>
      </c>
      <c r="L180" s="9">
        <f t="shared" si="46"/>
        <v>-4.2889722208427745</v>
      </c>
      <c r="M180" s="9">
        <f t="shared" si="47"/>
        <v>-56.55832237279129</v>
      </c>
      <c r="N180" s="9">
        <f t="shared" si="48"/>
        <v>-1151.2045394213933</v>
      </c>
      <c r="O180" s="9">
        <f t="shared" si="49"/>
        <v>43.2105217449012</v>
      </c>
      <c r="P180" s="10">
        <f t="shared" si="50"/>
        <v>1328470.7354140468</v>
      </c>
      <c r="Q180" s="8">
        <f t="shared" si="51"/>
        <v>16.35589510226147</v>
      </c>
      <c r="R180" s="8">
        <f t="shared" si="52"/>
        <v>61.233519918752535</v>
      </c>
      <c r="S180" s="8">
        <f t="shared" si="53"/>
        <v>-44.877624816491064</v>
      </c>
      <c r="T180" s="8">
        <f>S180-$S$45</f>
        <v>-23.97112807665145</v>
      </c>
      <c r="V180" s="21">
        <f>T180-riaa_curve!G164</f>
        <v>2.4415123585939575</v>
      </c>
      <c r="W180" s="21">
        <f>T180-riaa_curve!H164</f>
        <v>-0.034960890679766266</v>
      </c>
    </row>
    <row r="181" spans="9:23" ht="12.75">
      <c r="I181" s="13">
        <v>47050.6846206784</v>
      </c>
      <c r="J181" s="10">
        <f t="shared" si="44"/>
        <v>295628.1703013871</v>
      </c>
      <c r="K181" s="9">
        <f t="shared" si="45"/>
        <v>-5.722228954938827</v>
      </c>
      <c r="L181" s="9">
        <f t="shared" si="46"/>
        <v>-5.289305555316301</v>
      </c>
      <c r="M181" s="9">
        <f t="shared" si="47"/>
        <v>-64.96845187101715</v>
      </c>
      <c r="N181" s="9">
        <f t="shared" si="48"/>
        <v>-1417.3090698078747</v>
      </c>
      <c r="O181" s="9">
        <f t="shared" si="49"/>
        <v>60.720657470240184</v>
      </c>
      <c r="P181" s="10">
        <f t="shared" si="50"/>
        <v>2012985.8990981798</v>
      </c>
      <c r="Q181" s="8">
        <f t="shared" si="51"/>
        <v>17.833364653602743</v>
      </c>
      <c r="R181" s="8">
        <f t="shared" si="52"/>
        <v>63.03840732680359</v>
      </c>
      <c r="S181" s="8">
        <f t="shared" si="53"/>
        <v>-45.20504267320085</v>
      </c>
      <c r="T181" s="8">
        <f>S181-$S$45</f>
        <v>-24.298545933361236</v>
      </c>
      <c r="V181" s="21">
        <f>T181-riaa_curve!G165</f>
        <v>2.7149160492483055</v>
      </c>
      <c r="W181" s="21">
        <f>T181-riaa_curve!H165</f>
        <v>-0.03366030000321629</v>
      </c>
    </row>
    <row r="182" spans="9:23" ht="12.75">
      <c r="I182">
        <v>50427.6751706076</v>
      </c>
      <c r="J182" s="10">
        <f t="shared" si="44"/>
        <v>316846.42770718655</v>
      </c>
      <c r="K182" s="9">
        <f t="shared" si="45"/>
        <v>-6.573114987454632</v>
      </c>
      <c r="L182" s="9">
        <f t="shared" si="46"/>
        <v>-6.521503539848492</v>
      </c>
      <c r="M182" s="9">
        <f t="shared" si="47"/>
        <v>-74.62915379094143</v>
      </c>
      <c r="N182" s="9">
        <f t="shared" si="48"/>
        <v>-1744.9228958249355</v>
      </c>
      <c r="O182" s="9">
        <f t="shared" si="49"/>
        <v>85.73584905855712</v>
      </c>
      <c r="P182" s="10">
        <f t="shared" si="50"/>
        <v>3050325.422969631</v>
      </c>
      <c r="Q182" s="8">
        <f t="shared" si="51"/>
        <v>19.33162453112068</v>
      </c>
      <c r="R182" s="8">
        <f t="shared" si="52"/>
        <v>64.84346174383143</v>
      </c>
      <c r="S182" s="8">
        <f t="shared" si="53"/>
        <v>-45.511837212710745</v>
      </c>
      <c r="T182" s="8">
        <f>S182-$S$45</f>
        <v>-24.60534047287113</v>
      </c>
      <c r="V182" s="21">
        <f>T182-riaa_curve!G166</f>
        <v>3.0091030517768083</v>
      </c>
      <c r="W182" s="21">
        <f>T182-riaa_curve!H166</f>
        <v>-0.03234635645601358</v>
      </c>
    </row>
    <row r="183" spans="9:23" ht="12.75">
      <c r="I183">
        <v>54047.0440252576</v>
      </c>
      <c r="J183" s="10">
        <f t="shared" si="44"/>
        <v>339587.5929159868</v>
      </c>
      <c r="K183" s="9">
        <f t="shared" si="45"/>
        <v>-7.5505263732955</v>
      </c>
      <c r="L183" s="9">
        <f t="shared" si="46"/>
        <v>-8.039206556804814</v>
      </c>
      <c r="M183" s="9">
        <f t="shared" si="47"/>
        <v>-85.72638619447524</v>
      </c>
      <c r="N183" s="9">
        <f t="shared" si="48"/>
        <v>-2148.26359920799</v>
      </c>
      <c r="O183" s="9">
        <f t="shared" si="49"/>
        <v>121.6392905768044</v>
      </c>
      <c r="P183" s="10">
        <f t="shared" si="50"/>
        <v>4622385.504972032</v>
      </c>
      <c r="Q183" s="8">
        <f t="shared" si="51"/>
        <v>20.850738785924694</v>
      </c>
      <c r="R183" s="8">
        <f t="shared" si="52"/>
        <v>66.64866162627386</v>
      </c>
      <c r="S183" s="8">
        <f t="shared" si="53"/>
        <v>-45.79792284034917</v>
      </c>
      <c r="T183" s="8">
        <f>S183-$S$45</f>
        <v>-24.89142610050956</v>
      </c>
      <c r="V183" s="21">
        <f>T183-riaa_curve!G167</f>
        <v>3.3241383272771294</v>
      </c>
      <c r="W183" s="21">
        <f>T183-riaa_curve!H167</f>
        <v>-0.031032078787855966</v>
      </c>
    </row>
    <row r="184" spans="9:23" ht="12.75">
      <c r="I184">
        <v>57926.1875148018</v>
      </c>
      <c r="J184" s="10">
        <f t="shared" si="44"/>
        <v>363960.97029393225</v>
      </c>
      <c r="K184" s="9">
        <f t="shared" si="45"/>
        <v>-8.673277224366265</v>
      </c>
      <c r="L184" s="9">
        <f t="shared" si="46"/>
        <v>-9.908456976603697</v>
      </c>
      <c r="M184" s="9">
        <f t="shared" si="47"/>
        <v>-98.47375880143419</v>
      </c>
      <c r="N184" s="9">
        <f t="shared" si="48"/>
        <v>-2644.8350799912323</v>
      </c>
      <c r="O184" s="9">
        <f t="shared" si="49"/>
        <v>173.40325746791706</v>
      </c>
      <c r="P184" s="10">
        <f t="shared" si="50"/>
        <v>7004849.681524712</v>
      </c>
      <c r="Q184" s="8">
        <f t="shared" si="51"/>
        <v>22.390572516583767</v>
      </c>
      <c r="R184" s="8">
        <f t="shared" si="52"/>
        <v>68.45398820109332</v>
      </c>
      <c r="S184" s="8">
        <f t="shared" si="53"/>
        <v>-46.06341568450956</v>
      </c>
      <c r="T184" s="8">
        <f>S184-$S$45</f>
        <v>-25.156918944669943</v>
      </c>
      <c r="V184" s="21">
        <f>T184-riaa_curve!G168</f>
        <v>3.6598877660288984</v>
      </c>
      <c r="W184" s="21">
        <f>T184-riaa_curve!H168</f>
        <v>-0.02973037735951678</v>
      </c>
    </row>
    <row r="185" spans="9:23" ht="12.75">
      <c r="I185">
        <v>62083.750564657</v>
      </c>
      <c r="J185" s="10">
        <f t="shared" si="44"/>
        <v>390083.7093624552</v>
      </c>
      <c r="K185" s="9">
        <f t="shared" si="45"/>
        <v>-9.96297928018836</v>
      </c>
      <c r="L185" s="9">
        <f t="shared" si="46"/>
        <v>-12.210566046011145</v>
      </c>
      <c r="M185" s="9">
        <f t="shared" si="47"/>
        <v>-113.11664474700808</v>
      </c>
      <c r="N185" s="9">
        <f t="shared" si="48"/>
        <v>-3256.1871709506922</v>
      </c>
      <c r="O185" s="9">
        <f t="shared" si="49"/>
        <v>248.35887930146282</v>
      </c>
      <c r="P185" s="10">
        <f t="shared" si="50"/>
        <v>10615550.267582694</v>
      </c>
      <c r="Q185" s="8">
        <f t="shared" si="51"/>
        <v>23.950796914610745</v>
      </c>
      <c r="R185" s="8">
        <f t="shared" si="52"/>
        <v>70.25942511170956</v>
      </c>
      <c r="S185" s="8">
        <f t="shared" si="53"/>
        <v>-46.30862819709881</v>
      </c>
      <c r="T185" s="8">
        <f>S185-$S$45</f>
        <v>-25.4021314572592</v>
      </c>
      <c r="V185" s="21">
        <f>T185-riaa_curve!G169</f>
        <v>4.016023248240376</v>
      </c>
      <c r="W185" s="21">
        <f>T185-riaa_curve!H169</f>
        <v>-0.028453583581804054</v>
      </c>
    </row>
    <row r="186" spans="9:23" ht="12.75">
      <c r="I186">
        <v>66539.7163095026</v>
      </c>
      <c r="J186" s="10">
        <f t="shared" si="44"/>
        <v>418081.36785976466</v>
      </c>
      <c r="K186" s="9">
        <f t="shared" si="45"/>
        <v>-11.444457909877654</v>
      </c>
      <c r="L186" s="9">
        <f t="shared" si="46"/>
        <v>-15.04564345727176</v>
      </c>
      <c r="M186" s="9">
        <f t="shared" si="47"/>
        <v>-129.9369037420343</v>
      </c>
      <c r="N186" s="9">
        <f t="shared" si="48"/>
        <v>-4008.850832317537</v>
      </c>
      <c r="O186" s="9">
        <f t="shared" si="49"/>
        <v>357.3470038943057</v>
      </c>
      <c r="P186" s="10">
        <f t="shared" si="50"/>
        <v>16087768.594727075</v>
      </c>
      <c r="Q186" s="8">
        <f t="shared" si="51"/>
        <v>25.53090145195756</v>
      </c>
      <c r="R186" s="8">
        <f t="shared" si="52"/>
        <v>72.06495810773924</v>
      </c>
      <c r="S186" s="8">
        <f t="shared" si="53"/>
        <v>-46.53405665578168</v>
      </c>
      <c r="T186" s="8">
        <f>S186-$S$45</f>
        <v>-25.62755991594207</v>
      </c>
      <c r="V186" s="21">
        <f>T186-riaa_curve!G170</f>
        <v>4.392034845766322</v>
      </c>
      <c r="W186" s="21">
        <f>T186-riaa_curve!H170</f>
        <v>-0.02721302156080796</v>
      </c>
    </row>
    <row r="187" spans="9:23" ht="12.75">
      <c r="I187" s="15">
        <v>71315.5021452183</v>
      </c>
      <c r="J187" s="10">
        <f t="shared" si="44"/>
        <v>448088.51525296987</v>
      </c>
      <c r="K187" s="9">
        <f t="shared" si="45"/>
        <v>-13.14622997490928</v>
      </c>
      <c r="L187" s="9">
        <f t="shared" si="46"/>
        <v>-18.536942779465686</v>
      </c>
      <c r="M187" s="9">
        <f t="shared" si="47"/>
        <v>-149.25830758188303</v>
      </c>
      <c r="N187" s="9">
        <f t="shared" si="48"/>
        <v>-4935.489512539918</v>
      </c>
      <c r="O187" s="9">
        <f t="shared" si="49"/>
        <v>516.4416101623883</v>
      </c>
      <c r="P187" s="10">
        <f t="shared" si="50"/>
        <v>24381334.770773724</v>
      </c>
      <c r="Q187" s="8">
        <f t="shared" si="51"/>
        <v>27.130212264989062</v>
      </c>
      <c r="R187" s="8">
        <f t="shared" si="52"/>
        <v>73.870574776447</v>
      </c>
      <c r="S187" s="8">
        <f t="shared" si="53"/>
        <v>-46.74036251145794</v>
      </c>
      <c r="T187" s="8">
        <f>S187-$S$45</f>
        <v>-25.833865771618324</v>
      </c>
      <c r="V187" s="21">
        <f>T187-riaa_curve!G171</f>
        <v>4.787249216086256</v>
      </c>
      <c r="W187" s="21">
        <f>T187-riaa_curve!H171</f>
        <v>-0.026018654249728712</v>
      </c>
    </row>
    <row r="188" spans="9:23" ht="12.75">
      <c r="I188" s="15">
        <v>76434.062666695</v>
      </c>
      <c r="J188" s="10">
        <f t="shared" si="44"/>
        <v>480249.37951542175</v>
      </c>
      <c r="K188" s="9">
        <f t="shared" si="45"/>
        <v>-15.101052746590979</v>
      </c>
      <c r="L188" s="9">
        <f t="shared" si="46"/>
        <v>-22.836211326480026</v>
      </c>
      <c r="M188" s="9">
        <f t="shared" si="47"/>
        <v>-171.45277238895025</v>
      </c>
      <c r="N188" s="9">
        <f t="shared" si="48"/>
        <v>-6076.316638300901</v>
      </c>
      <c r="O188" s="9">
        <f t="shared" si="49"/>
        <v>749.5343418029776</v>
      </c>
      <c r="P188" s="10">
        <f t="shared" si="50"/>
        <v>36951019.94205222</v>
      </c>
      <c r="Q188" s="8">
        <f t="shared" si="51"/>
        <v>28.747915359352724</v>
      </c>
      <c r="R188" s="8">
        <f t="shared" si="52"/>
        <v>75.67626430527645</v>
      </c>
      <c r="S188" s="8">
        <f t="shared" si="53"/>
        <v>-46.92834894592372</v>
      </c>
      <c r="T188" s="8">
        <f>S188-$S$45</f>
        <v>-26.02185220608411</v>
      </c>
      <c r="V188" s="21">
        <f>T188-riaa_curve!G172</f>
        <v>5.200852818937857</v>
      </c>
      <c r="W188" s="21">
        <f>T188-riaa_curve!H172</f>
        <v>-0.024878825639039093</v>
      </c>
    </row>
    <row r="189" spans="9:23" ht="12.75">
      <c r="I189" s="15">
        <v>81920.999999997</v>
      </c>
      <c r="J189" s="10">
        <f t="shared" si="44"/>
        <v>514724.8235494401</v>
      </c>
      <c r="K189" s="9">
        <f t="shared" si="45"/>
        <v>-17.346977951180676</v>
      </c>
      <c r="L189" s="9">
        <f t="shared" si="46"/>
        <v>-28.131309377942678</v>
      </c>
      <c r="M189" s="9">
        <f t="shared" si="47"/>
        <v>-196.95232592120664</v>
      </c>
      <c r="N189" s="9">
        <f t="shared" si="48"/>
        <v>-7481.11471330639</v>
      </c>
      <c r="O189" s="9">
        <f t="shared" si="49"/>
        <v>1092.2882113562741</v>
      </c>
      <c r="P189" s="10">
        <f t="shared" si="50"/>
        <v>56005867.57233512</v>
      </c>
      <c r="Q189" s="8">
        <f t="shared" si="51"/>
        <v>30.383372465067172</v>
      </c>
      <c r="R189" s="8">
        <f t="shared" si="52"/>
        <v>77.48233529163272</v>
      </c>
      <c r="S189" s="8">
        <f t="shared" si="53"/>
        <v>-47.098962826565554</v>
      </c>
      <c r="T189" s="8">
        <f>S189-$S$45</f>
        <v>-26.19246608672594</v>
      </c>
      <c r="V189" s="21">
        <f>T189-riaa_curve!G173</f>
        <v>5.631889764657618</v>
      </c>
      <c r="W189" s="21">
        <f>T189-riaa_curve!H173</f>
        <v>-0.023828677533284548</v>
      </c>
    </row>
    <row r="190" spans="9:23" ht="12.75">
      <c r="I190">
        <v>87799.6820509729</v>
      </c>
      <c r="J190" s="10">
        <f t="shared" si="44"/>
        <v>551661.6722377122</v>
      </c>
      <c r="K190" s="9">
        <f t="shared" si="45"/>
        <v>-19.925958560125572</v>
      </c>
      <c r="L190" s="9">
        <f t="shared" si="46"/>
        <v>-34.649155435209394</v>
      </c>
      <c r="M190" s="9">
        <f t="shared" si="47"/>
        <v>-226.2332894911647</v>
      </c>
      <c r="N190" s="9">
        <f t="shared" si="48"/>
        <v>-9210.014018404501</v>
      </c>
      <c r="O190" s="9">
        <f t="shared" si="49"/>
        <v>1597.6077969131422</v>
      </c>
      <c r="P190" s="10">
        <f t="shared" si="50"/>
        <v>84875539.72048143</v>
      </c>
      <c r="Q190" s="8">
        <f t="shared" si="51"/>
        <v>32.03470171384485</v>
      </c>
      <c r="R190" s="8">
        <f t="shared" si="52"/>
        <v>79.28782548960211</v>
      </c>
      <c r="S190" s="8">
        <f t="shared" si="53"/>
        <v>-47.25312377575726</v>
      </c>
      <c r="T190" s="8">
        <f>S190-$S$45</f>
        <v>-26.346627035917646</v>
      </c>
      <c r="V190" s="21">
        <f>T190-riaa_curve!G174</f>
        <v>6.0794325729532055</v>
      </c>
      <c r="W190" s="21">
        <f>T190-riaa_curve!H174</f>
        <v>-0.02278726969228373</v>
      </c>
    </row>
    <row r="191" spans="9:23" ht="12.75">
      <c r="I191">
        <v>94101.3692413568</v>
      </c>
      <c r="J191" s="10">
        <f t="shared" si="44"/>
        <v>591256.3406027742</v>
      </c>
      <c r="K191" s="9">
        <f t="shared" si="45"/>
        <v>-22.888915819755308</v>
      </c>
      <c r="L191" s="9">
        <f t="shared" si="46"/>
        <v>-42.676036874446034</v>
      </c>
      <c r="M191" s="9">
        <f t="shared" si="47"/>
        <v>-259.8738074840686</v>
      </c>
      <c r="N191" s="9">
        <f t="shared" si="48"/>
        <v>-11338.877370550897</v>
      </c>
      <c r="O191" s="9">
        <f t="shared" si="49"/>
        <v>2345.1465907129223</v>
      </c>
      <c r="P191" s="10">
        <f t="shared" si="50"/>
        <v>128637674.4202075</v>
      </c>
      <c r="Q191" s="8">
        <f t="shared" si="51"/>
        <v>33.701699948327374</v>
      </c>
      <c r="R191" s="8">
        <f t="shared" si="52"/>
        <v>81.09368180070416</v>
      </c>
      <c r="S191" s="8">
        <f t="shared" si="53"/>
        <v>-47.39198185237679</v>
      </c>
      <c r="T191" s="8">
        <f>S191-$S$45</f>
        <v>-26.485485112537173</v>
      </c>
      <c r="V191" s="21">
        <f>T191-riaa_curve!G175</f>
        <v>6.542324341524381</v>
      </c>
      <c r="W191" s="21">
        <f>T191-riaa_curve!H175</f>
        <v>-0.021843302236472795</v>
      </c>
    </row>
  </sheetData>
  <sheetProtection/>
  <mergeCells count="2">
    <mergeCell ref="I6:I7"/>
    <mergeCell ref="I8:I9"/>
  </mergeCells>
  <printOptions/>
  <pageMargins left="0.7875" right="0.7875" top="0.7875" bottom="0.7875" header="0.5" footer="0.5"/>
  <pageSetup cellComments="asDisplayed" horizontalDpi="300" verticalDpi="300" orientation="portrait" paperSize="9" r:id="rId4"/>
  <headerFooter alignWithMargins="0">
    <oddHeader>&amp;C&amp;A</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51489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 Westenberg</dc:creator>
  <cp:keywords/>
  <dc:description/>
  <cp:lastModifiedBy>Maarten Westenberg</cp:lastModifiedBy>
  <cp:lastPrinted>1601-01-01T00:06:31Z</cp:lastPrinted>
  <dcterms:created xsi:type="dcterms:W3CDTF">2002-04-28T16:02:04Z</dcterms:created>
  <dcterms:modified xsi:type="dcterms:W3CDTF">2005-12-12T22:34:31Z</dcterms:modified>
  <cp:category/>
  <cp:version/>
  <cp:contentType/>
  <cp:contentStatus/>
  <cp:revision>238</cp:revision>
</cp:coreProperties>
</file>

<file path=docProps/custom.xml><?xml version="1.0" encoding="utf-8"?>
<Properties xmlns="http://schemas.openxmlformats.org/officeDocument/2006/custom-properties" xmlns:vt="http://schemas.openxmlformats.org/officeDocument/2006/docPropsVTypes"/>
</file>